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marquette\Downloads\"/>
    </mc:Choice>
  </mc:AlternateContent>
  <bookViews>
    <workbookView xWindow="1905" yWindow="1905" windowWidth="18000" windowHeight="9360" tabRatio="500" activeTab="1"/>
  </bookViews>
  <sheets>
    <sheet name="ProjectA" sheetId="1" r:id="rId1"/>
    <sheet name="ProjectB" sheetId="2" r:id="rId2"/>
    <sheet name="ProjectC" sheetId="3" r:id="rId3"/>
    <sheet name="Comparison" sheetId="4" r:id="rId4"/>
    <sheet name="Combined_EvaluateCapProjects" sheetId="5" r:id="rId5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0" i="5" l="1"/>
  <c r="G90" i="5"/>
  <c r="F90" i="5"/>
  <c r="E90" i="5"/>
  <c r="D90" i="5"/>
  <c r="C90" i="5"/>
  <c r="B90" i="5"/>
  <c r="B89" i="5"/>
  <c r="C85" i="5"/>
  <c r="D85" i="5" s="1"/>
  <c r="E85" i="5" s="1"/>
  <c r="F85" i="5" s="1"/>
  <c r="G85" i="5" s="1"/>
  <c r="H85" i="5" s="1"/>
  <c r="C84" i="5"/>
  <c r="B83" i="5"/>
  <c r="H82" i="5"/>
  <c r="G82" i="5"/>
  <c r="F82" i="5"/>
  <c r="E82" i="5"/>
  <c r="D82" i="5"/>
  <c r="C82" i="5"/>
  <c r="B77" i="5"/>
  <c r="G60" i="5"/>
  <c r="F60" i="5"/>
  <c r="E60" i="5"/>
  <c r="D60" i="5"/>
  <c r="C60" i="5"/>
  <c r="B60" i="5"/>
  <c r="G57" i="5"/>
  <c r="B57" i="5"/>
  <c r="G56" i="5"/>
  <c r="F56" i="5"/>
  <c r="G52" i="5"/>
  <c r="D52" i="5"/>
  <c r="D56" i="5" s="1"/>
  <c r="C52" i="5"/>
  <c r="C56" i="5" s="1"/>
  <c r="D50" i="5"/>
  <c r="C50" i="5"/>
  <c r="B49" i="5"/>
  <c r="B58" i="5" s="1"/>
  <c r="B44" i="5"/>
  <c r="C51" i="5" s="1"/>
  <c r="B40" i="5"/>
  <c r="F52" i="5" s="1"/>
  <c r="B28" i="5"/>
  <c r="J25" i="5"/>
  <c r="I25" i="5"/>
  <c r="H25" i="5"/>
  <c r="G25" i="5"/>
  <c r="F25" i="5"/>
  <c r="E25" i="5"/>
  <c r="D25" i="5"/>
  <c r="C25" i="5"/>
  <c r="B25" i="5"/>
  <c r="B23" i="5"/>
  <c r="J22" i="5"/>
  <c r="D21" i="5"/>
  <c r="C19" i="5"/>
  <c r="C18" i="5"/>
  <c r="C20" i="5" s="1"/>
  <c r="I17" i="5"/>
  <c r="I21" i="5" s="1"/>
  <c r="H17" i="5"/>
  <c r="H21" i="5" s="1"/>
  <c r="G17" i="5"/>
  <c r="G21" i="5" s="1"/>
  <c r="F17" i="5"/>
  <c r="F21" i="5" s="1"/>
  <c r="E17" i="5"/>
  <c r="E21" i="5" s="1"/>
  <c r="D17" i="5"/>
  <c r="C17" i="5"/>
  <c r="C21" i="5" s="1"/>
  <c r="J15" i="5"/>
  <c r="I15" i="5"/>
  <c r="I18" i="5" s="1"/>
  <c r="H15" i="5"/>
  <c r="H18" i="5" s="1"/>
  <c r="G15" i="5"/>
  <c r="G18" i="5" s="1"/>
  <c r="F15" i="5"/>
  <c r="F18" i="5" s="1"/>
  <c r="E15" i="5"/>
  <c r="E18" i="5" s="1"/>
  <c r="D15" i="5"/>
  <c r="D18" i="5" s="1"/>
  <c r="C15" i="5"/>
  <c r="B13" i="5"/>
  <c r="J17" i="5" s="1"/>
  <c r="J21" i="5" s="1"/>
  <c r="B9" i="5"/>
  <c r="H19" i="3"/>
  <c r="G19" i="3"/>
  <c r="F19" i="3"/>
  <c r="E19" i="3"/>
  <c r="D19" i="3"/>
  <c r="C19" i="3"/>
  <c r="B19" i="3"/>
  <c r="B18" i="3"/>
  <c r="C14" i="3"/>
  <c r="C15" i="3" s="1"/>
  <c r="H13" i="3"/>
  <c r="G13" i="3"/>
  <c r="C13" i="3"/>
  <c r="D13" i="3" s="1"/>
  <c r="E13" i="3" s="1"/>
  <c r="F13" i="3" s="1"/>
  <c r="B12" i="3"/>
  <c r="H11" i="3"/>
  <c r="G11" i="3"/>
  <c r="F11" i="3"/>
  <c r="E11" i="3"/>
  <c r="D11" i="3"/>
  <c r="C11" i="3"/>
  <c r="B6" i="3"/>
  <c r="G24" i="2"/>
  <c r="F24" i="2"/>
  <c r="E24" i="2"/>
  <c r="D24" i="2"/>
  <c r="C24" i="2"/>
  <c r="B24" i="2"/>
  <c r="G21" i="2"/>
  <c r="B21" i="2"/>
  <c r="B22" i="2" s="1"/>
  <c r="B25" i="2" s="1"/>
  <c r="B27" i="2" s="1"/>
  <c r="E16" i="2"/>
  <c r="E20" i="2" s="1"/>
  <c r="D16" i="2"/>
  <c r="D20" i="2" s="1"/>
  <c r="C16" i="2"/>
  <c r="C20" i="2" s="1"/>
  <c r="C15" i="2"/>
  <c r="D15" i="2" s="1"/>
  <c r="E15" i="2" s="1"/>
  <c r="F15" i="2" s="1"/>
  <c r="G15" i="2" s="1"/>
  <c r="D14" i="2"/>
  <c r="E14" i="2" s="1"/>
  <c r="C14" i="2"/>
  <c r="C17" i="2" s="1"/>
  <c r="C18" i="2" s="1"/>
  <c r="C19" i="2" s="1"/>
  <c r="C22" i="2" s="1"/>
  <c r="B13" i="2"/>
  <c r="B8" i="2"/>
  <c r="B4" i="2"/>
  <c r="F16" i="2" s="1"/>
  <c r="F20" i="2" s="1"/>
  <c r="J25" i="1"/>
  <c r="I25" i="1"/>
  <c r="H25" i="1"/>
  <c r="G25" i="1"/>
  <c r="F25" i="1"/>
  <c r="E25" i="1"/>
  <c r="D25" i="1"/>
  <c r="C25" i="1"/>
  <c r="B25" i="1"/>
  <c r="J22" i="1"/>
  <c r="G18" i="1"/>
  <c r="G19" i="1" s="1"/>
  <c r="G17" i="1"/>
  <c r="G21" i="1" s="1"/>
  <c r="F17" i="1"/>
  <c r="F21" i="1" s="1"/>
  <c r="E17" i="1"/>
  <c r="E21" i="1" s="1"/>
  <c r="J15" i="1"/>
  <c r="I15" i="1"/>
  <c r="H15" i="1"/>
  <c r="G15" i="1"/>
  <c r="F15" i="1"/>
  <c r="F18" i="1" s="1"/>
  <c r="E15" i="1"/>
  <c r="E18" i="1" s="1"/>
  <c r="D15" i="1"/>
  <c r="C15" i="1"/>
  <c r="B13" i="1"/>
  <c r="J17" i="1" s="1"/>
  <c r="B9" i="1"/>
  <c r="J18" i="1" l="1"/>
  <c r="J21" i="1"/>
  <c r="E19" i="1"/>
  <c r="E20" i="1"/>
  <c r="E23" i="1" s="1"/>
  <c r="F19" i="1"/>
  <c r="F20" i="1"/>
  <c r="F23" i="1" s="1"/>
  <c r="C25" i="2"/>
  <c r="C23" i="2"/>
  <c r="C16" i="3"/>
  <c r="C17" i="3"/>
  <c r="C18" i="3" s="1"/>
  <c r="C20" i="3" s="1"/>
  <c r="C23" i="5"/>
  <c r="E17" i="2"/>
  <c r="F14" i="2"/>
  <c r="D19" i="5"/>
  <c r="D20" i="5" s="1"/>
  <c r="D23" i="5" s="1"/>
  <c r="B21" i="3"/>
  <c r="C21" i="3" s="1"/>
  <c r="J18" i="5"/>
  <c r="D53" i="5"/>
  <c r="H18" i="1"/>
  <c r="D17" i="2"/>
  <c r="D14" i="3"/>
  <c r="E14" i="3" s="1"/>
  <c r="F14" i="3" s="1"/>
  <c r="B26" i="5"/>
  <c r="B24" i="5"/>
  <c r="E50" i="5"/>
  <c r="C86" i="5"/>
  <c r="G20" i="1"/>
  <c r="G23" i="1" s="1"/>
  <c r="B28" i="1"/>
  <c r="I17" i="1"/>
  <c r="I21" i="1" s="1"/>
  <c r="H17" i="1"/>
  <c r="H21" i="1" s="1"/>
  <c r="B23" i="1"/>
  <c r="B23" i="2"/>
  <c r="C17" i="1"/>
  <c r="D15" i="3"/>
  <c r="F19" i="5"/>
  <c r="F20" i="5" s="1"/>
  <c r="F23" i="5" s="1"/>
  <c r="I18" i="1"/>
  <c r="B20" i="3"/>
  <c r="B23" i="3" s="1"/>
  <c r="E19" i="5"/>
  <c r="E20" i="5" s="1"/>
  <c r="E23" i="5" s="1"/>
  <c r="D17" i="1"/>
  <c r="E15" i="3"/>
  <c r="G19" i="5"/>
  <c r="G20" i="5" s="1"/>
  <c r="G23" i="5" s="1"/>
  <c r="C53" i="5"/>
  <c r="D51" i="5"/>
  <c r="E51" i="5" s="1"/>
  <c r="F51" i="5" s="1"/>
  <c r="G51" i="5" s="1"/>
  <c r="B91" i="5"/>
  <c r="B94" i="5" s="1"/>
  <c r="B92" i="5"/>
  <c r="H20" i="5"/>
  <c r="H23" i="5" s="1"/>
  <c r="H19" i="5"/>
  <c r="B61" i="5"/>
  <c r="B63" i="5" s="1"/>
  <c r="B59" i="5"/>
  <c r="I20" i="5"/>
  <c r="I23" i="5" s="1"/>
  <c r="I19" i="5"/>
  <c r="G16" i="2"/>
  <c r="G20" i="2" s="1"/>
  <c r="E52" i="5"/>
  <c r="E56" i="5" s="1"/>
  <c r="D84" i="5"/>
  <c r="G26" i="5" l="1"/>
  <c r="E26" i="5"/>
  <c r="D26" i="5"/>
  <c r="D24" i="5"/>
  <c r="E24" i="5" s="1"/>
  <c r="F24" i="5" s="1"/>
  <c r="G24" i="5" s="1"/>
  <c r="H24" i="5" s="1"/>
  <c r="I24" i="5" s="1"/>
  <c r="F26" i="5"/>
  <c r="G26" i="1"/>
  <c r="D18" i="2"/>
  <c r="D19" i="2"/>
  <c r="D22" i="2" s="1"/>
  <c r="E84" i="5"/>
  <c r="D86" i="5"/>
  <c r="J19" i="5"/>
  <c r="J20" i="5" s="1"/>
  <c r="J23" i="5" s="1"/>
  <c r="E26" i="1"/>
  <c r="I26" i="5"/>
  <c r="F50" i="5"/>
  <c r="E53" i="5"/>
  <c r="B26" i="1"/>
  <c r="B24" i="1"/>
  <c r="H26" i="5"/>
  <c r="D16" i="3"/>
  <c r="D17" i="3" s="1"/>
  <c r="D18" i="3" s="1"/>
  <c r="F26" i="1"/>
  <c r="C21" i="1"/>
  <c r="C18" i="1"/>
  <c r="E18" i="2"/>
  <c r="E19" i="2" s="1"/>
  <c r="E22" i="2" s="1"/>
  <c r="C26" i="5"/>
  <c r="C24" i="5"/>
  <c r="E32" i="5" s="1"/>
  <c r="C103" i="5" s="1"/>
  <c r="E17" i="3"/>
  <c r="E18" i="3" s="1"/>
  <c r="E20" i="3" s="1"/>
  <c r="E16" i="3"/>
  <c r="H19" i="1"/>
  <c r="H20" i="1" s="1"/>
  <c r="H23" i="1" s="1"/>
  <c r="G14" i="2"/>
  <c r="G17" i="2" s="1"/>
  <c r="F17" i="2"/>
  <c r="D21" i="1"/>
  <c r="D18" i="1"/>
  <c r="C87" i="5"/>
  <c r="C88" i="5" s="1"/>
  <c r="C89" i="5" s="1"/>
  <c r="D54" i="5"/>
  <c r="D55" i="5"/>
  <c r="D58" i="5" s="1"/>
  <c r="C54" i="5"/>
  <c r="C55" i="5"/>
  <c r="C58" i="5" s="1"/>
  <c r="I20" i="1"/>
  <c r="I23" i="1" s="1"/>
  <c r="I19" i="1"/>
  <c r="G14" i="3"/>
  <c r="F15" i="3"/>
  <c r="J19" i="1"/>
  <c r="J20" i="1"/>
  <c r="J23" i="1" s="1"/>
  <c r="E25" i="2" l="1"/>
  <c r="J26" i="5"/>
  <c r="J24" i="5"/>
  <c r="E31" i="5"/>
  <c r="E103" i="5" s="1"/>
  <c r="E30" i="5"/>
  <c r="B103" i="5" s="1"/>
  <c r="H26" i="1"/>
  <c r="D20" i="3"/>
  <c r="E27" i="3"/>
  <c r="C4" i="4" s="1"/>
  <c r="D21" i="3"/>
  <c r="E21" i="3" s="1"/>
  <c r="C91" i="5"/>
  <c r="C92" i="5"/>
  <c r="F18" i="2"/>
  <c r="F19" i="2"/>
  <c r="F22" i="2" s="1"/>
  <c r="H14" i="3"/>
  <c r="H15" i="3" s="1"/>
  <c r="G15" i="3"/>
  <c r="E54" i="5"/>
  <c r="E55" i="5" s="1"/>
  <c r="E58" i="5" s="1"/>
  <c r="D87" i="5"/>
  <c r="D88" i="5" s="1"/>
  <c r="D89" i="5" s="1"/>
  <c r="I26" i="1"/>
  <c r="C61" i="5"/>
  <c r="C59" i="5"/>
  <c r="E67" i="5" s="1"/>
  <c r="C104" i="5" s="1"/>
  <c r="D20" i="1"/>
  <c r="D23" i="1" s="1"/>
  <c r="D19" i="1"/>
  <c r="C19" i="1"/>
  <c r="C20" i="1" s="1"/>
  <c r="C23" i="1" s="1"/>
  <c r="G50" i="5"/>
  <c r="G53" i="5" s="1"/>
  <c r="F53" i="5"/>
  <c r="F84" i="5"/>
  <c r="E86" i="5"/>
  <c r="D61" i="5"/>
  <c r="B27" i="5"/>
  <c r="D23" i="2"/>
  <c r="E23" i="2" s="1"/>
  <c r="D25" i="2"/>
  <c r="J26" i="1"/>
  <c r="G18" i="2"/>
  <c r="G19" i="2" s="1"/>
  <c r="G22" i="2" s="1"/>
  <c r="F16" i="3"/>
  <c r="F17" i="3" s="1"/>
  <c r="F18" i="3" s="1"/>
  <c r="E31" i="2"/>
  <c r="C3" i="4" s="1"/>
  <c r="E61" i="5" l="1"/>
  <c r="C26" i="1"/>
  <c r="B27" i="1" s="1"/>
  <c r="C24" i="1"/>
  <c r="E32" i="1" s="1"/>
  <c r="C2" i="4" s="1"/>
  <c r="E30" i="1"/>
  <c r="B2" i="4" s="1"/>
  <c r="E31" i="1"/>
  <c r="E2" i="4" s="1"/>
  <c r="F20" i="3"/>
  <c r="G25" i="2"/>
  <c r="E30" i="2"/>
  <c r="E3" i="4" s="1"/>
  <c r="E29" i="2"/>
  <c r="B3" i="4" s="1"/>
  <c r="D91" i="5"/>
  <c r="D59" i="5"/>
  <c r="E59" i="5" s="1"/>
  <c r="D26" i="1"/>
  <c r="F54" i="5"/>
  <c r="F55" i="5" s="1"/>
  <c r="F58" i="5" s="1"/>
  <c r="E87" i="5"/>
  <c r="E88" i="5" s="1"/>
  <c r="E89" i="5" s="1"/>
  <c r="G84" i="5"/>
  <c r="F86" i="5"/>
  <c r="B26" i="2"/>
  <c r="G54" i="5"/>
  <c r="G55" i="5" s="1"/>
  <c r="G58" i="5" s="1"/>
  <c r="H16" i="3"/>
  <c r="H17" i="3" s="1"/>
  <c r="H18" i="3" s="1"/>
  <c r="H20" i="3" s="1"/>
  <c r="F21" i="3"/>
  <c r="G16" i="3"/>
  <c r="G17" i="3" s="1"/>
  <c r="G18" i="3" s="1"/>
  <c r="F23" i="2"/>
  <c r="G23" i="2" s="1"/>
  <c r="F25" i="2"/>
  <c r="C30" i="5"/>
  <c r="E33" i="5"/>
  <c r="D103" i="5" s="1"/>
  <c r="E98" i="5"/>
  <c r="C105" i="5" s="1"/>
  <c r="D92" i="5"/>
  <c r="F59" i="5" l="1"/>
  <c r="F61" i="5"/>
  <c r="E66" i="5"/>
  <c r="E104" i="5" s="1"/>
  <c r="E65" i="5"/>
  <c r="B104" i="5" s="1"/>
  <c r="E91" i="5"/>
  <c r="G20" i="3"/>
  <c r="B22" i="3" s="1"/>
  <c r="E26" i="3"/>
  <c r="E4" i="4" s="1"/>
  <c r="E25" i="3"/>
  <c r="B4" i="4" s="1"/>
  <c r="G59" i="5"/>
  <c r="G61" i="5"/>
  <c r="D24" i="1"/>
  <c r="E24" i="1" s="1"/>
  <c r="F24" i="1" s="1"/>
  <c r="G24" i="1" s="1"/>
  <c r="H24" i="1" s="1"/>
  <c r="I24" i="1" s="1"/>
  <c r="J24" i="1" s="1"/>
  <c r="C29" i="2"/>
  <c r="E32" i="2"/>
  <c r="D3" i="4" s="1"/>
  <c r="C30" i="1"/>
  <c r="E33" i="1"/>
  <c r="D2" i="4" s="1"/>
  <c r="E92" i="5"/>
  <c r="G21" i="3"/>
  <c r="H21" i="3" s="1"/>
  <c r="F87" i="5"/>
  <c r="F88" i="5" s="1"/>
  <c r="F89" i="5" s="1"/>
  <c r="G86" i="5"/>
  <c r="H84" i="5"/>
  <c r="H86" i="5" s="1"/>
  <c r="F91" i="5" l="1"/>
  <c r="C25" i="3"/>
  <c r="E28" i="3"/>
  <c r="D4" i="4" s="1"/>
  <c r="H87" i="5"/>
  <c r="H88" i="5" s="1"/>
  <c r="H89" i="5" s="1"/>
  <c r="G88" i="5"/>
  <c r="G89" i="5" s="1"/>
  <c r="G91" i="5" s="1"/>
  <c r="G87" i="5"/>
  <c r="B62" i="5"/>
  <c r="F92" i="5"/>
  <c r="H91" i="5" l="1"/>
  <c r="E96" i="5"/>
  <c r="B105" i="5" s="1"/>
  <c r="G92" i="5"/>
  <c r="H92" i="5" s="1"/>
  <c r="C65" i="5"/>
  <c r="E68" i="5"/>
  <c r="D104" i="5" s="1"/>
  <c r="E97" i="5"/>
  <c r="E105" i="5" s="1"/>
  <c r="B93" i="5"/>
  <c r="C96" i="5" l="1"/>
  <c r="E99" i="5"/>
  <c r="D105" i="5" s="1"/>
</calcChain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9"/>
            <color rgb="FF000000"/>
            <rFont val="Tahoma"/>
            <family val="2"/>
            <charset val="1"/>
          </rPr>
          <t>60% of Annual Sales i.e of 20 million
=C9*0.6</t>
        </r>
      </text>
    </comment>
    <comment ref="A15" authorId="0" shapeId="0">
      <text>
        <r>
          <rPr>
            <sz val="9"/>
            <color rgb="FF000000"/>
            <rFont val="Tahoma"/>
            <family val="2"/>
            <charset val="1"/>
          </rPr>
          <t>Cost of sales reducing by 5% per year for 8 years</t>
        </r>
      </text>
    </comment>
    <comment ref="A18" authorId="0" shapeId="0">
      <text>
        <r>
          <rPr>
            <sz val="9"/>
            <color rgb="FF000000"/>
            <rFont val="Tahoma"/>
            <family val="2"/>
            <charset val="1"/>
          </rPr>
          <t>EBIT = Sales - Cost of Sales - Operating Expenses
https://www.investopedia.com/terms/e/ebit.asp</t>
        </r>
      </text>
    </comment>
    <comment ref="A19" authorId="0" shapeId="0">
      <text>
        <r>
          <rPr>
            <sz val="9"/>
            <color rgb="FF000000"/>
            <rFont val="Tahoma"/>
            <family val="2"/>
            <charset val="1"/>
          </rPr>
          <t>EBIT * Tax rate of 25%</t>
        </r>
      </text>
    </comment>
    <comment ref="A20" authorId="0" shapeId="0">
      <text>
        <r>
          <rPr>
            <sz val="9"/>
            <color rgb="FF000000"/>
            <rFont val="Tahoma"/>
            <family val="2"/>
            <charset val="1"/>
          </rPr>
          <t xml:space="preserve">EBIT - Taxes
</t>
        </r>
      </text>
    </comment>
    <comment ref="A22" authorId="0" shapeId="0">
      <text>
        <r>
          <rPr>
            <sz val="9"/>
            <color rgb="FF000000"/>
            <rFont val="Tahoma"/>
            <family val="2"/>
            <charset val="1"/>
          </rPr>
          <t xml:space="preserve">Salvage value on 8th year - (Salvage Value * Tax rate 25%)
</t>
        </r>
      </text>
    </comment>
    <comment ref="A25" authorId="0" shapeId="0">
      <text>
        <r>
          <rPr>
            <sz val="9"/>
            <color rgb="FF000000"/>
            <rFont val="Tahoma"/>
            <family val="2"/>
            <charset val="1"/>
          </rPr>
          <t xml:space="preserve">PV
https://www.accountingtools.com/articles/what-is-the-present-value-factor.html
</t>
        </r>
      </text>
    </comment>
    <comment ref="A26" authorId="0" shapeId="0">
      <text>
        <r>
          <rPr>
            <sz val="9"/>
            <color rgb="FF000000"/>
            <rFont val="Tahoma"/>
            <family val="2"/>
            <charset val="1"/>
          </rPr>
          <t>Ref:
Bradford, R.S.W.R.J.J. J. (2017). Corporate Finance: Core Principles and Applications. [Capella]. Retrieved from https://capella.vitalsource.com/#/books/1260384357/
Page 115 (Ch4), 197 (Ch7)</t>
        </r>
      </text>
    </comment>
    <comment ref="A32" authorId="0" shapeId="0">
      <text>
        <r>
          <rPr>
            <sz val="9"/>
            <color rgb="FF000000"/>
            <rFont val="Tahoma"/>
            <family val="2"/>
            <charset val="1"/>
          </rPr>
          <t>https://www.investopedia.com/ask/answers/051315/how-do-you-calculate-payback-period-using-excel.asp
https://www.elearnmarkets.com/blog/calculation-of-payback-period/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9"/>
            <color rgb="FF000000"/>
            <rFont val="Tahoma"/>
            <family val="2"/>
            <charset val="1"/>
          </rPr>
          <t>Using straight line depreciation
Annual Depreciation= (Asset Cost - Salvage Value)/Asset Life
https://corporatefinanceinstitute.com/resources/knowledge/accounting/straight-line-depreciation/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9"/>
            <color rgb="FF000000"/>
            <rFont val="Tahoma"/>
            <family val="2"/>
            <charset val="1"/>
          </rPr>
          <t>60% of Annual Sales i.e of 20 million
=C9*0.6</t>
        </r>
      </text>
    </comment>
    <comment ref="A15" authorId="0" shapeId="0">
      <text>
        <r>
          <rPr>
            <sz val="9"/>
            <color rgb="FF000000"/>
            <rFont val="Tahoma"/>
            <family val="2"/>
            <charset val="1"/>
          </rPr>
          <t>Cost of sales reducing by 5% per year for 8 years</t>
        </r>
      </text>
    </comment>
    <comment ref="A18" authorId="0" shapeId="0">
      <text>
        <r>
          <rPr>
            <sz val="9"/>
            <color rgb="FF000000"/>
            <rFont val="Tahoma"/>
            <family val="2"/>
            <charset val="1"/>
          </rPr>
          <t>EBIT = Sales - Cost of Sales - Operating Expenses
https://www.investopedia.com/terms/e/ebit.asp</t>
        </r>
      </text>
    </comment>
    <comment ref="A19" authorId="0" shapeId="0">
      <text>
        <r>
          <rPr>
            <sz val="9"/>
            <color rgb="FF000000"/>
            <rFont val="Tahoma"/>
            <family val="2"/>
            <charset val="1"/>
          </rPr>
          <t>EBIT * Tax rate of 25%</t>
        </r>
      </text>
    </comment>
    <comment ref="A20" authorId="0" shapeId="0">
      <text>
        <r>
          <rPr>
            <sz val="9"/>
            <color rgb="FF000000"/>
            <rFont val="Tahoma"/>
            <family val="2"/>
            <charset val="1"/>
          </rPr>
          <t xml:space="preserve">EBIT - Taxes
</t>
        </r>
      </text>
    </comment>
    <comment ref="A22" authorId="0" shapeId="0">
      <text>
        <r>
          <rPr>
            <sz val="9"/>
            <color rgb="FF000000"/>
            <rFont val="Tahoma"/>
            <family val="2"/>
            <charset val="1"/>
          </rPr>
          <t xml:space="preserve">Salvage value on 8th year - (Salvage Value * Tax rate 25%)
</t>
        </r>
      </text>
    </comment>
    <comment ref="A25" authorId="0" shapeId="0">
      <text>
        <r>
          <rPr>
            <sz val="9"/>
            <color rgb="FF000000"/>
            <rFont val="Tahoma"/>
            <family val="2"/>
            <charset val="1"/>
          </rPr>
          <t xml:space="preserve">PV
https://www.accountingtools.com/articles/what-is-the-present-value-factor.html
</t>
        </r>
      </text>
    </comment>
    <comment ref="A26" authorId="0" shapeId="0">
      <text>
        <r>
          <rPr>
            <sz val="9"/>
            <color rgb="FF000000"/>
            <rFont val="Tahoma"/>
            <family val="2"/>
            <charset val="1"/>
          </rPr>
          <t>Ref:
Bradford, R.S.W.R.J.J. J. (2017). Corporate Finance: Core Principles and Applications. [Capella]. Retrieved from https://capella.vitalsource.com/#/books/1260384357/
Page 115 (Ch4), 197 (Ch7)</t>
        </r>
      </text>
    </comment>
    <comment ref="A32" authorId="0" shapeId="0">
      <text>
        <r>
          <rPr>
            <sz val="9"/>
            <color rgb="FF000000"/>
            <rFont val="Tahoma"/>
            <family val="2"/>
            <charset val="1"/>
          </rPr>
          <t>https://www.investopedia.com/ask/answers/051315/how-do-you-calculate-payback-period-using-excel.asp
https://www.elearnmarkets.com/blog/calculation-of-payback-period/</t>
        </r>
      </text>
    </comment>
    <comment ref="A40" authorId="0" shapeId="0">
      <text>
        <r>
          <rPr>
            <sz val="9"/>
            <color rgb="FF000000"/>
            <rFont val="Tahoma"/>
            <family val="2"/>
            <charset val="1"/>
          </rPr>
          <t>Using straight line depreciation
Annual Depreciation= (Asset Cost - Salvage Value)/Asset Life
https://corporatefinanceinstitute.com/resources/knowledge/accounting/straight-line-depreciation/</t>
        </r>
      </text>
    </comment>
  </commentList>
</comments>
</file>

<file path=xl/sharedStrings.xml><?xml version="1.0" encoding="utf-8"?>
<sst xmlns="http://schemas.openxmlformats.org/spreadsheetml/2006/main" count="210" uniqueCount="84">
  <si>
    <t>Project A</t>
  </si>
  <si>
    <r>
      <rPr>
        <b/>
        <sz val="11"/>
        <color rgb="FF000000"/>
        <rFont val="Calibri"/>
        <family val="2"/>
        <charset val="1"/>
      </rPr>
      <t>Major Equipment Purchase</t>
    </r>
    <r>
      <rPr>
        <sz val="11"/>
        <color rgb="FF000000"/>
        <rFont val="Calibri"/>
        <family val="2"/>
        <charset val="1"/>
      </rPr>
      <t xml:space="preserve"> </t>
    </r>
  </si>
  <si>
    <t>Purchasing cost</t>
  </si>
  <si>
    <t>Life of project in years</t>
  </si>
  <si>
    <t>Reduction in cost per year</t>
  </si>
  <si>
    <t>Salvage value</t>
  </si>
  <si>
    <t>Required rate of return</t>
  </si>
  <si>
    <t>Depreciation</t>
  </si>
  <si>
    <t>MACRS-7 years</t>
  </si>
  <si>
    <t>Annual sales</t>
  </si>
  <si>
    <t>Earlier Cost of sales (60% of sales)</t>
  </si>
  <si>
    <t>Tax rate</t>
  </si>
  <si>
    <t>Year</t>
  </si>
  <si>
    <t>Purchasing Cost</t>
  </si>
  <si>
    <t>Annual Sales</t>
  </si>
  <si>
    <t>Cost of the goods sold</t>
  </si>
  <si>
    <t>MACRS - 7 years rates</t>
  </si>
  <si>
    <t>Annual Depreciation</t>
  </si>
  <si>
    <t>Earnings before interest and taxes (EBIT) / Gross Income</t>
  </si>
  <si>
    <t>Taxes (25%) / Income Taxes</t>
  </si>
  <si>
    <t>Earnings after taxes / Net Income</t>
  </si>
  <si>
    <t>Add Depreciation</t>
  </si>
  <si>
    <t>Add: After tax salvage value</t>
  </si>
  <si>
    <t>Cash Flows</t>
  </si>
  <si>
    <t>Cummulative Cash Flows</t>
  </si>
  <si>
    <t>Present Value factor (8%)</t>
  </si>
  <si>
    <t>Present value of cash flows</t>
  </si>
  <si>
    <t>Present value of cash inflows</t>
  </si>
  <si>
    <t>Present value cash outflows</t>
  </si>
  <si>
    <t>Net present value =  Present value of cash inflows - Present value of cash outflows</t>
  </si>
  <si>
    <t>NPV Formula:</t>
  </si>
  <si>
    <t>Internal rate of return (IRR)</t>
  </si>
  <si>
    <t>IRR:</t>
  </si>
  <si>
    <t>Payback period</t>
  </si>
  <si>
    <t>profitability Index (PI) + present value of cash inflows/ present value of cash outflows</t>
  </si>
  <si>
    <t xml:space="preserve"> Project B: Expansion Into Three Additional States                                                              </t>
  </si>
  <si>
    <t xml:space="preserve">Expansion Into Three Additional States </t>
  </si>
  <si>
    <t>Start up Cost</t>
  </si>
  <si>
    <t>Life of a project in years</t>
  </si>
  <si>
    <t>Annual Depreciation (using straightline)</t>
  </si>
  <si>
    <t>Net working capital</t>
  </si>
  <si>
    <t>Required rate of Return</t>
  </si>
  <si>
    <t>Earlier annual sales</t>
  </si>
  <si>
    <t>Increase in sales and revenue per year</t>
  </si>
  <si>
    <t>Cost of goods sold</t>
  </si>
  <si>
    <t>Earnings before interest and taxes (EBIT)</t>
  </si>
  <si>
    <t>Tax (30%)</t>
  </si>
  <si>
    <t>Earnings after tax</t>
  </si>
  <si>
    <t>Plus Depreciation</t>
  </si>
  <si>
    <t>Cash flows</t>
  </si>
  <si>
    <t>Cummulative Cash flows</t>
  </si>
  <si>
    <t>Present value factor (12%)</t>
  </si>
  <si>
    <t>Present Value of Cash outflows</t>
  </si>
  <si>
    <t>Net Present Value = Present Value of cash inflows - Present Value of cash outflows</t>
  </si>
  <si>
    <t>Internal rate of return</t>
  </si>
  <si>
    <t>payback period</t>
  </si>
  <si>
    <t>Profitability Index (PI)</t>
  </si>
  <si>
    <t>Project C</t>
  </si>
  <si>
    <t>Marketuing/ Advertising Campaign</t>
  </si>
  <si>
    <t>Annual cost</t>
  </si>
  <si>
    <t xml:space="preserve">Earlier Annual sales </t>
  </si>
  <si>
    <t>Earlier Cost of Sales (60% of sales)</t>
  </si>
  <si>
    <t>Marketing / Advertising cost</t>
  </si>
  <si>
    <t>Present value of Annual marketing cost</t>
  </si>
  <si>
    <t>Cost of the Goods sold</t>
  </si>
  <si>
    <t>Taxes (25%)</t>
  </si>
  <si>
    <t>Earnings after taxes</t>
  </si>
  <si>
    <t>Present value factor (10%)</t>
  </si>
  <si>
    <t>Present value of cash outflows</t>
  </si>
  <si>
    <t>Net Present Value = Present Value of cash inflows - Present value of cash outflows</t>
  </si>
  <si>
    <t>internal rate of return</t>
  </si>
  <si>
    <t>Payback periodd</t>
  </si>
  <si>
    <t>Profitability Index (PI) = present value of cash inflows/ present value of cash outflows</t>
  </si>
  <si>
    <t>Projects</t>
  </si>
  <si>
    <t>Net Present Value</t>
  </si>
  <si>
    <t>Payback Period</t>
  </si>
  <si>
    <t>Profitability Index</t>
  </si>
  <si>
    <t>Internal Rate of Return</t>
  </si>
  <si>
    <t>Project A: Major Equipment Purchase</t>
  </si>
  <si>
    <t xml:space="preserve">Project B: Expansion Three Additional States </t>
  </si>
  <si>
    <t>Project C: Marketing or Advertising Campaign</t>
  </si>
  <si>
    <t>Project B</t>
  </si>
  <si>
    <t>Expansion into Europe</t>
  </si>
  <si>
    <t>Project B: Expansion into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</si>
</sst>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_);[Red]&quot;($&quot;#,##0\)"/>
    <numFmt numFmtId="165" formatCode="_(\$* #,##0.00_);_(\$* \(#,##0.00\);_(\$* \-??_);_(@_)"/>
    <numFmt numFmtId="166" formatCode="_(\$* #,##0_);_(\$* \(#,##0\);_(\$* \-??_);_(@_)"/>
    <numFmt numFmtId="167" formatCode="\$#,##0.00_);[Red]&quot;($&quot;#,##0.00\)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  <font>
      <sz val="11"/>
      <color rgb="FF0070C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BE5D6"/>
        <bgColor rgb="FFF8CBAD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4" fillId="0" borderId="0" applyBorder="0" applyProtection="0"/>
    <xf numFmtId="9" fontId="4" fillId="0" borderId="0" applyBorder="0" applyProtection="0"/>
  </cellStyleXfs>
  <cellXfs count="22">
    <xf numFmtId="0" fontId="0" fillId="0" borderId="0" xfId="0"/>
    <xf numFmtId="0" fontId="1" fillId="2" borderId="0" xfId="0" applyFont="1" applyFill="1"/>
    <xf numFmtId="164" fontId="0" fillId="0" borderId="0" xfId="0" applyNumberFormat="1"/>
    <xf numFmtId="9" fontId="0" fillId="0" borderId="0" xfId="0" applyNumberFormat="1"/>
    <xf numFmtId="0" fontId="1" fillId="3" borderId="0" xfId="0" applyFont="1" applyFill="1"/>
    <xf numFmtId="166" fontId="0" fillId="0" borderId="0" xfId="1" applyNumberFormat="1" applyFont="1" applyBorder="1" applyAlignment="1" applyProtection="1"/>
    <xf numFmtId="166" fontId="0" fillId="0" borderId="0" xfId="0" applyNumberFormat="1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3" borderId="0" xfId="0" applyFill="1"/>
    <xf numFmtId="164" fontId="0" fillId="3" borderId="0" xfId="0" applyNumberFormat="1" applyFill="1"/>
    <xf numFmtId="164" fontId="0" fillId="3" borderId="0" xfId="0" applyNumberFormat="1" applyFill="1"/>
    <xf numFmtId="167" fontId="0" fillId="0" borderId="0" xfId="0" applyNumberFormat="1"/>
    <xf numFmtId="9" fontId="0" fillId="3" borderId="0" xfId="2" applyFont="1" applyFill="1" applyBorder="1" applyAlignment="1" applyProtection="1"/>
    <xf numFmtId="10" fontId="0" fillId="3" borderId="0" xfId="0" applyNumberFormat="1" applyFill="1"/>
    <xf numFmtId="2" fontId="0" fillId="3" borderId="0" xfId="0" applyNumberForma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Font="1"/>
    <xf numFmtId="0" fontId="1" fillId="2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BE5D6"/>
      <rgbColor rgb="FFCCFFFF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2" displayName="Table22" ref="A1:E4" totalsRowShown="0">
  <autoFilter ref="A1:E4"/>
  <tableColumns count="5">
    <tableColumn id="1" name="Projects"/>
    <tableColumn id="2" name="Net Present Value"/>
    <tableColumn id="3" name="Payback Period"/>
    <tableColumn id="4" name="Profitability Index"/>
    <tableColumn id="5" name="Internal Rate of Retur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102:E105" totalsRowShown="0">
  <autoFilter ref="A102:E105"/>
  <tableColumns count="5">
    <tableColumn id="1" name="Projects"/>
    <tableColumn id="2" name="Net Present Value"/>
    <tableColumn id="3" name="Payback Period"/>
    <tableColumn id="4" name="Profitability Index"/>
    <tableColumn id="5" name="Internal Rate of Retur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8CBAD"/>
  </sheetPr>
  <dimension ref="A1:K33"/>
  <sheetViews>
    <sheetView zoomScaleNormal="100" workbookViewId="0">
      <selection activeCell="N23" sqref="N23"/>
    </sheetView>
  </sheetViews>
  <sheetFormatPr defaultColWidth="8.42578125" defaultRowHeight="15" x14ac:dyDescent="0.25"/>
  <cols>
    <col min="1" max="1" width="58.7109375" customWidth="1"/>
    <col min="2" max="2" width="13.28515625" customWidth="1"/>
    <col min="3" max="3" width="11.28515625" customWidth="1"/>
    <col min="4" max="4" width="12.42578125" customWidth="1"/>
    <col min="5" max="10" width="11.28515625" customWidth="1"/>
  </cols>
  <sheetData>
    <row r="1" spans="1:11" x14ac:dyDescent="0.25">
      <c r="A1" s="1" t="s">
        <v>0</v>
      </c>
      <c r="B1" s="21" t="s">
        <v>1</v>
      </c>
      <c r="C1" s="21"/>
      <c r="F1" s="2"/>
    </row>
    <row r="2" spans="1:11" x14ac:dyDescent="0.25">
      <c r="A2" t="s">
        <v>2</v>
      </c>
      <c r="B2" s="2">
        <v>10000000</v>
      </c>
      <c r="F2" s="2"/>
    </row>
    <row r="3" spans="1:11" x14ac:dyDescent="0.25">
      <c r="A3" t="s">
        <v>3</v>
      </c>
      <c r="B3">
        <v>8</v>
      </c>
      <c r="F3" s="2"/>
    </row>
    <row r="4" spans="1:11" x14ac:dyDescent="0.25">
      <c r="A4" t="s">
        <v>4</v>
      </c>
      <c r="B4" s="3">
        <v>0.05</v>
      </c>
      <c r="F4" s="3"/>
    </row>
    <row r="5" spans="1:11" x14ac:dyDescent="0.25">
      <c r="A5" t="s">
        <v>5</v>
      </c>
      <c r="B5" s="2">
        <v>500000</v>
      </c>
      <c r="F5" s="2"/>
    </row>
    <row r="6" spans="1:11" x14ac:dyDescent="0.25">
      <c r="A6" t="s">
        <v>6</v>
      </c>
      <c r="B6" s="3">
        <v>0.08</v>
      </c>
    </row>
    <row r="7" spans="1:11" x14ac:dyDescent="0.25">
      <c r="A7" t="s">
        <v>7</v>
      </c>
      <c r="B7" t="s">
        <v>8</v>
      </c>
    </row>
    <row r="8" spans="1:11" x14ac:dyDescent="0.25">
      <c r="A8" t="s">
        <v>9</v>
      </c>
      <c r="B8" s="2">
        <v>20000000</v>
      </c>
    </row>
    <row r="9" spans="1:11" x14ac:dyDescent="0.25">
      <c r="A9" t="s">
        <v>10</v>
      </c>
      <c r="B9" s="2">
        <f>B8*0.6</f>
        <v>12000000</v>
      </c>
    </row>
    <row r="10" spans="1:11" x14ac:dyDescent="0.25">
      <c r="A10" t="s">
        <v>11</v>
      </c>
      <c r="B10" s="3">
        <v>0.25</v>
      </c>
    </row>
    <row r="12" spans="1:11" x14ac:dyDescent="0.25">
      <c r="A12" s="4" t="s">
        <v>12</v>
      </c>
      <c r="B12" s="4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</row>
    <row r="13" spans="1:11" x14ac:dyDescent="0.25">
      <c r="A13" t="s">
        <v>13</v>
      </c>
      <c r="B13" s="2">
        <f>B2</f>
        <v>10000000</v>
      </c>
    </row>
    <row r="14" spans="1:11" x14ac:dyDescent="0.25">
      <c r="A14" t="s">
        <v>14</v>
      </c>
      <c r="C14" s="2">
        <v>20000000</v>
      </c>
      <c r="D14" s="2">
        <v>20000000</v>
      </c>
      <c r="E14" s="2">
        <v>20000000</v>
      </c>
      <c r="F14" s="2">
        <v>20000000</v>
      </c>
      <c r="G14" s="2">
        <v>20000000</v>
      </c>
      <c r="H14" s="2">
        <v>20000000</v>
      </c>
      <c r="I14" s="2">
        <v>20000000</v>
      </c>
      <c r="J14" s="2">
        <v>20000000</v>
      </c>
      <c r="K14" s="2"/>
    </row>
    <row r="15" spans="1:11" x14ac:dyDescent="0.25">
      <c r="A15" t="s">
        <v>15</v>
      </c>
      <c r="B15" s="5"/>
      <c r="C15" s="2">
        <f>C14*0.55</f>
        <v>11000000</v>
      </c>
      <c r="D15" s="2">
        <f>D14*0.5</f>
        <v>10000000</v>
      </c>
      <c r="E15" s="2">
        <f>E14*0.45</f>
        <v>9000000</v>
      </c>
      <c r="F15" s="2">
        <f>F14*0.4</f>
        <v>8000000</v>
      </c>
      <c r="G15" s="2">
        <f>G14*0.35</f>
        <v>7000000</v>
      </c>
      <c r="H15" s="2">
        <f>H14*0.3</f>
        <v>6000000</v>
      </c>
      <c r="I15" s="2">
        <f>I14*0.25</f>
        <v>5000000</v>
      </c>
      <c r="J15" s="2">
        <f>J14*0.2</f>
        <v>4000000</v>
      </c>
      <c r="K15" s="6"/>
    </row>
    <row r="16" spans="1:11" x14ac:dyDescent="0.25">
      <c r="A16" t="s">
        <v>16</v>
      </c>
      <c r="C16" s="7">
        <v>0.1429</v>
      </c>
      <c r="D16" s="7">
        <v>0.24490000000000001</v>
      </c>
      <c r="E16" s="7">
        <v>0.1749</v>
      </c>
      <c r="F16" s="7">
        <v>0.1249</v>
      </c>
      <c r="G16" s="7">
        <v>8.9300000000000004E-2</v>
      </c>
      <c r="H16" s="7">
        <v>8.9200000000000002E-2</v>
      </c>
      <c r="I16" s="7">
        <v>8.9300000000000004E-2</v>
      </c>
      <c r="J16" s="7">
        <v>4.4600000000000001E-2</v>
      </c>
    </row>
    <row r="17" spans="1:11" x14ac:dyDescent="0.25">
      <c r="A17" t="s">
        <v>17</v>
      </c>
      <c r="C17" s="2">
        <f>B13*C16</f>
        <v>1429000</v>
      </c>
      <c r="D17" s="2">
        <f>B13*D16</f>
        <v>2449000</v>
      </c>
      <c r="E17" s="2">
        <f>B13*E16</f>
        <v>1749000</v>
      </c>
      <c r="F17" s="2">
        <f>B13*F16</f>
        <v>1249000</v>
      </c>
      <c r="G17" s="2">
        <f>B13*G16</f>
        <v>893000</v>
      </c>
      <c r="H17" s="2">
        <f>B13*H16</f>
        <v>892000</v>
      </c>
      <c r="I17" s="2">
        <f>B13*I16</f>
        <v>893000</v>
      </c>
      <c r="J17" s="2">
        <f>B13*J16</f>
        <v>446000</v>
      </c>
      <c r="K17" s="2"/>
    </row>
    <row r="18" spans="1:11" x14ac:dyDescent="0.25">
      <c r="A18" t="s">
        <v>18</v>
      </c>
      <c r="C18" s="2">
        <f t="shared" ref="C18:J18" si="0">C14-C15-C17</f>
        <v>7571000</v>
      </c>
      <c r="D18" s="2">
        <f t="shared" si="0"/>
        <v>7551000</v>
      </c>
      <c r="E18" s="2">
        <f t="shared" si="0"/>
        <v>9251000</v>
      </c>
      <c r="F18" s="2">
        <f t="shared" si="0"/>
        <v>10751000</v>
      </c>
      <c r="G18" s="2">
        <f t="shared" si="0"/>
        <v>12107000</v>
      </c>
      <c r="H18" s="2">
        <f t="shared" si="0"/>
        <v>13108000</v>
      </c>
      <c r="I18" s="2">
        <f t="shared" si="0"/>
        <v>14107000</v>
      </c>
      <c r="J18" s="2">
        <f t="shared" si="0"/>
        <v>15554000</v>
      </c>
    </row>
    <row r="19" spans="1:11" x14ac:dyDescent="0.25">
      <c r="A19" t="s">
        <v>19</v>
      </c>
      <c r="C19" s="5">
        <f>C18*B10</f>
        <v>1892750</v>
      </c>
      <c r="D19" s="5">
        <f>D18*B10</f>
        <v>1887750</v>
      </c>
      <c r="E19" s="5">
        <f>E18*B10</f>
        <v>2312750</v>
      </c>
      <c r="F19" s="5">
        <f>F18*B10</f>
        <v>2687750</v>
      </c>
      <c r="G19" s="5">
        <f>G18*B10</f>
        <v>3026750</v>
      </c>
      <c r="H19" s="5">
        <f>H18*B10</f>
        <v>3277000</v>
      </c>
      <c r="I19" s="5">
        <f>I18*B10</f>
        <v>3526750</v>
      </c>
      <c r="J19" s="5">
        <f>J18*B10</f>
        <v>3888500</v>
      </c>
    </row>
    <row r="20" spans="1:11" x14ac:dyDescent="0.25">
      <c r="A20" t="s">
        <v>20</v>
      </c>
      <c r="C20" s="2">
        <f t="shared" ref="C20:J20" si="1">C18-C19</f>
        <v>5678250</v>
      </c>
      <c r="D20" s="2">
        <f t="shared" si="1"/>
        <v>5663250</v>
      </c>
      <c r="E20" s="2">
        <f t="shared" si="1"/>
        <v>6938250</v>
      </c>
      <c r="F20" s="2">
        <f t="shared" si="1"/>
        <v>8063250</v>
      </c>
      <c r="G20" s="2">
        <f t="shared" si="1"/>
        <v>9080250</v>
      </c>
      <c r="H20" s="2">
        <f t="shared" si="1"/>
        <v>9831000</v>
      </c>
      <c r="I20" s="2">
        <f t="shared" si="1"/>
        <v>10580250</v>
      </c>
      <c r="J20" s="2">
        <f t="shared" si="1"/>
        <v>11665500</v>
      </c>
    </row>
    <row r="21" spans="1:11" x14ac:dyDescent="0.25">
      <c r="A21" t="s">
        <v>21</v>
      </c>
      <c r="C21" s="2">
        <f t="shared" ref="C21:J21" si="2">C17</f>
        <v>1429000</v>
      </c>
      <c r="D21" s="2">
        <f t="shared" si="2"/>
        <v>2449000</v>
      </c>
      <c r="E21" s="2">
        <f t="shared" si="2"/>
        <v>1749000</v>
      </c>
      <c r="F21" s="2">
        <f t="shared" si="2"/>
        <v>1249000</v>
      </c>
      <c r="G21" s="2">
        <f t="shared" si="2"/>
        <v>893000</v>
      </c>
      <c r="H21" s="2">
        <f t="shared" si="2"/>
        <v>892000</v>
      </c>
      <c r="I21" s="2">
        <f t="shared" si="2"/>
        <v>893000</v>
      </c>
      <c r="J21" s="2">
        <f t="shared" si="2"/>
        <v>446000</v>
      </c>
    </row>
    <row r="22" spans="1:11" x14ac:dyDescent="0.25">
      <c r="A22" t="s">
        <v>22</v>
      </c>
      <c r="J22" s="2">
        <f>B5-(B5*B10)</f>
        <v>375000</v>
      </c>
    </row>
    <row r="23" spans="1:11" x14ac:dyDescent="0.25">
      <c r="A23" t="s">
        <v>23</v>
      </c>
      <c r="B23" s="8">
        <f>-B13</f>
        <v>-10000000</v>
      </c>
      <c r="C23" s="8">
        <f t="shared" ref="C23:J23" si="3">C20+C21+C22</f>
        <v>7107250</v>
      </c>
      <c r="D23" s="8">
        <f t="shared" si="3"/>
        <v>8112250</v>
      </c>
      <c r="E23" s="8">
        <f t="shared" si="3"/>
        <v>8687250</v>
      </c>
      <c r="F23" s="8">
        <f t="shared" si="3"/>
        <v>9312250</v>
      </c>
      <c r="G23" s="8">
        <f t="shared" si="3"/>
        <v>9973250</v>
      </c>
      <c r="H23" s="8">
        <f t="shared" si="3"/>
        <v>10723000</v>
      </c>
      <c r="I23" s="8">
        <f t="shared" si="3"/>
        <v>11473250</v>
      </c>
      <c r="J23" s="8">
        <f t="shared" si="3"/>
        <v>12486500</v>
      </c>
    </row>
    <row r="24" spans="1:11" x14ac:dyDescent="0.25">
      <c r="A24" t="s">
        <v>24</v>
      </c>
      <c r="B24" s="2">
        <f>B23</f>
        <v>-10000000</v>
      </c>
      <c r="C24" s="2">
        <f t="shared" ref="C24:J24" si="4">C23+B24</f>
        <v>-2892750</v>
      </c>
      <c r="D24" s="2">
        <f t="shared" si="4"/>
        <v>5219500</v>
      </c>
      <c r="E24" s="2">
        <f t="shared" si="4"/>
        <v>13906750</v>
      </c>
      <c r="F24" s="2">
        <f t="shared" si="4"/>
        <v>23219000</v>
      </c>
      <c r="G24" s="2">
        <f t="shared" si="4"/>
        <v>33192250</v>
      </c>
      <c r="H24" s="2">
        <f t="shared" si="4"/>
        <v>43915250</v>
      </c>
      <c r="I24" s="2">
        <f t="shared" si="4"/>
        <v>55388500</v>
      </c>
      <c r="J24" s="2">
        <f t="shared" si="4"/>
        <v>67875000</v>
      </c>
    </row>
    <row r="25" spans="1:11" x14ac:dyDescent="0.25">
      <c r="A25" t="s">
        <v>25</v>
      </c>
      <c r="B25">
        <f>1/(1+B6)^B12</f>
        <v>1</v>
      </c>
      <c r="C25" s="9">
        <f>1/(1+B6)^C12</f>
        <v>0.92592592592592582</v>
      </c>
      <c r="D25" s="9">
        <f>1/(1+B6)^D12</f>
        <v>0.85733882030178321</v>
      </c>
      <c r="E25" s="9">
        <f>1/(1+B6)^E12</f>
        <v>0.79383224102016958</v>
      </c>
      <c r="F25" s="9">
        <f>1/(1+B6)^F12</f>
        <v>0.73502985279645328</v>
      </c>
      <c r="G25" s="9">
        <f>1/(1+B6)^G12</f>
        <v>0.68058319703375303</v>
      </c>
      <c r="H25" s="9">
        <f>1/(1+B6)^H12</f>
        <v>0.63016962688310452</v>
      </c>
      <c r="I25" s="9">
        <f>1/(1+B6)^I12</f>
        <v>0.58349039526213387</v>
      </c>
      <c r="J25" s="9">
        <f>1/(1+B6)^J12</f>
        <v>0.54026888450197574</v>
      </c>
    </row>
    <row r="26" spans="1:11" x14ac:dyDescent="0.25">
      <c r="A26" t="s">
        <v>26</v>
      </c>
      <c r="B26" s="2">
        <f t="shared" ref="B26:J26" si="5">B23*B25</f>
        <v>-10000000</v>
      </c>
      <c r="C26" s="2">
        <f t="shared" si="5"/>
        <v>6580787.0370370364</v>
      </c>
      <c r="D26" s="2">
        <f t="shared" si="5"/>
        <v>6954946.8449931405</v>
      </c>
      <c r="E26" s="2">
        <f t="shared" si="5"/>
        <v>6896219.1358024683</v>
      </c>
      <c r="F26" s="2">
        <f t="shared" si="5"/>
        <v>6844781.7467037719</v>
      </c>
      <c r="G26" s="2">
        <f t="shared" si="5"/>
        <v>6787626.3698168769</v>
      </c>
      <c r="H26" s="2">
        <f t="shared" si="5"/>
        <v>6757308.9090675302</v>
      </c>
      <c r="I26" s="2">
        <f t="shared" si="5"/>
        <v>6694531.1774412775</v>
      </c>
      <c r="J26" s="2">
        <f t="shared" si="5"/>
        <v>6746067.4263339201</v>
      </c>
      <c r="K26" s="2"/>
    </row>
    <row r="27" spans="1:11" x14ac:dyDescent="0.25">
      <c r="A27" t="s">
        <v>27</v>
      </c>
      <c r="B27" s="2">
        <f>SUM(C26:J26)</f>
        <v>54262268.647196017</v>
      </c>
      <c r="F27" s="2"/>
    </row>
    <row r="28" spans="1:11" x14ac:dyDescent="0.25">
      <c r="A28" t="s">
        <v>28</v>
      </c>
      <c r="B28" s="2">
        <f>B13</f>
        <v>10000000</v>
      </c>
      <c r="F28" s="2"/>
    </row>
    <row r="30" spans="1:11" x14ac:dyDescent="0.25">
      <c r="A30" s="4" t="s">
        <v>29</v>
      </c>
      <c r="B30" s="10"/>
      <c r="C30" s="11">
        <f>B27-B28</f>
        <v>44262268.647196017</v>
      </c>
      <c r="D30" s="4" t="s">
        <v>30</v>
      </c>
      <c r="E30" s="12">
        <f>NPV(B6,C23:J23)+(B23)</f>
        <v>44262268.647196032</v>
      </c>
      <c r="G30" s="13"/>
    </row>
    <row r="31" spans="1:11" x14ac:dyDescent="0.25">
      <c r="A31" s="4" t="s">
        <v>31</v>
      </c>
      <c r="B31" s="10"/>
      <c r="C31" s="14"/>
      <c r="D31" s="4" t="s">
        <v>32</v>
      </c>
      <c r="E31" s="15">
        <f>IRR(B23:J23)</f>
        <v>0.79793436489987868</v>
      </c>
      <c r="H31" s="7"/>
    </row>
    <row r="32" spans="1:11" x14ac:dyDescent="0.25">
      <c r="A32" s="4" t="s">
        <v>33</v>
      </c>
      <c r="B32" s="10"/>
      <c r="C32" s="10"/>
      <c r="D32" s="10"/>
      <c r="E32" s="16">
        <f>C12+ABS(C24/D23)</f>
        <v>1.3565903417670806</v>
      </c>
    </row>
    <row r="33" spans="1:5" x14ac:dyDescent="0.25">
      <c r="A33" s="4" t="s">
        <v>34</v>
      </c>
      <c r="B33" s="10"/>
      <c r="C33" s="10"/>
      <c r="D33" s="10"/>
      <c r="E33" s="16">
        <f>B27/B28</f>
        <v>5.4262268647196015</v>
      </c>
    </row>
  </sheetData>
  <mergeCells count="1">
    <mergeCell ref="B1:C1"/>
  </mergeCells>
  <pageMargins left="0.7" right="0.7" top="0.75" bottom="0.75" header="0.51180555555555496" footer="0.51180555555555496"/>
  <pageSetup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9D18E"/>
  </sheetPr>
  <dimension ref="A1:H32"/>
  <sheetViews>
    <sheetView tabSelected="1" zoomScaleNormal="100" workbookViewId="0"/>
  </sheetViews>
  <sheetFormatPr defaultColWidth="8.42578125" defaultRowHeight="15" x14ac:dyDescent="0.25"/>
  <cols>
    <col min="1" max="1" width="59.85546875" customWidth="1"/>
    <col min="2" max="3" width="11.28515625" customWidth="1"/>
    <col min="4" max="4" width="12.42578125" customWidth="1"/>
    <col min="5" max="7" width="11.28515625" customWidth="1"/>
  </cols>
  <sheetData>
    <row r="1" spans="1:7" x14ac:dyDescent="0.25">
      <c r="A1" s="17" t="s">
        <v>35</v>
      </c>
      <c r="B1" s="21" t="s">
        <v>36</v>
      </c>
      <c r="C1" s="21"/>
    </row>
    <row r="2" spans="1:7" x14ac:dyDescent="0.25">
      <c r="A2" t="s">
        <v>37</v>
      </c>
      <c r="B2" s="2">
        <v>7000000</v>
      </c>
    </row>
    <row r="3" spans="1:7" x14ac:dyDescent="0.25">
      <c r="A3" t="s">
        <v>38</v>
      </c>
      <c r="B3">
        <v>5</v>
      </c>
    </row>
    <row r="4" spans="1:7" x14ac:dyDescent="0.25">
      <c r="A4" t="s">
        <v>39</v>
      </c>
      <c r="B4" s="2">
        <f>B2/B3</f>
        <v>1400000</v>
      </c>
    </row>
    <row r="5" spans="1:7" x14ac:dyDescent="0.25">
      <c r="A5" t="s">
        <v>40</v>
      </c>
      <c r="B5" s="2">
        <v>1000000</v>
      </c>
    </row>
    <row r="6" spans="1:7" x14ac:dyDescent="0.25">
      <c r="A6" t="s">
        <v>41</v>
      </c>
      <c r="B6" s="3">
        <v>0.12</v>
      </c>
    </row>
    <row r="7" spans="1:7" x14ac:dyDescent="0.25">
      <c r="A7" t="s">
        <v>42</v>
      </c>
      <c r="B7" s="2">
        <v>20000000</v>
      </c>
    </row>
    <row r="8" spans="1:7" x14ac:dyDescent="0.25">
      <c r="A8" t="s">
        <v>10</v>
      </c>
      <c r="B8" s="2">
        <f>B7*0.6</f>
        <v>12000000</v>
      </c>
    </row>
    <row r="9" spans="1:7" x14ac:dyDescent="0.25">
      <c r="A9" t="s">
        <v>43</v>
      </c>
      <c r="B9" s="3">
        <v>0.1</v>
      </c>
    </row>
    <row r="10" spans="1:7" x14ac:dyDescent="0.25">
      <c r="A10" t="s">
        <v>11</v>
      </c>
      <c r="B10" s="3">
        <v>0.25</v>
      </c>
    </row>
    <row r="12" spans="1:7" x14ac:dyDescent="0.25">
      <c r="A12" s="4" t="s">
        <v>12</v>
      </c>
      <c r="B12" s="4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</row>
    <row r="13" spans="1:7" x14ac:dyDescent="0.25">
      <c r="A13" t="s">
        <v>13</v>
      </c>
      <c r="B13" s="2">
        <f>B2</f>
        <v>7000000</v>
      </c>
    </row>
    <row r="14" spans="1:7" x14ac:dyDescent="0.25">
      <c r="A14" t="s">
        <v>14</v>
      </c>
      <c r="C14" s="2">
        <f>B7*1.1</f>
        <v>22000000</v>
      </c>
      <c r="D14" s="2">
        <f t="shared" ref="D14:G15" si="0">C14*1.1</f>
        <v>24200000.000000004</v>
      </c>
      <c r="E14" s="2">
        <f t="shared" si="0"/>
        <v>26620000.000000007</v>
      </c>
      <c r="F14" s="2">
        <f t="shared" si="0"/>
        <v>29282000.000000011</v>
      </c>
      <c r="G14" s="2">
        <f t="shared" si="0"/>
        <v>32210200.000000015</v>
      </c>
    </row>
    <row r="15" spans="1:7" x14ac:dyDescent="0.25">
      <c r="A15" t="s">
        <v>44</v>
      </c>
      <c r="C15" s="2">
        <f>B8*1.1</f>
        <v>13200000.000000002</v>
      </c>
      <c r="D15" s="2">
        <f t="shared" si="0"/>
        <v>14520000.000000004</v>
      </c>
      <c r="E15" s="2">
        <f t="shared" si="0"/>
        <v>15972000.000000006</v>
      </c>
      <c r="F15" s="2">
        <f t="shared" si="0"/>
        <v>17569200.000000007</v>
      </c>
      <c r="G15" s="2">
        <f t="shared" si="0"/>
        <v>19326120.000000011</v>
      </c>
    </row>
    <row r="16" spans="1:7" x14ac:dyDescent="0.25">
      <c r="A16" t="s">
        <v>17</v>
      </c>
      <c r="C16" s="2">
        <f>B4</f>
        <v>1400000</v>
      </c>
      <c r="D16" s="2">
        <f>B4</f>
        <v>1400000</v>
      </c>
      <c r="E16" s="2">
        <f>B4</f>
        <v>1400000</v>
      </c>
      <c r="F16" s="2">
        <f>B4</f>
        <v>1400000</v>
      </c>
      <c r="G16" s="2">
        <f>B4</f>
        <v>1400000</v>
      </c>
    </row>
    <row r="17" spans="1:8" x14ac:dyDescent="0.25">
      <c r="A17" t="s">
        <v>45</v>
      </c>
      <c r="C17" s="2">
        <f>C14-C15-C16</f>
        <v>7399999.9999999981</v>
      </c>
      <c r="D17" s="2">
        <f>D14-D15-D16</f>
        <v>8280000</v>
      </c>
      <c r="E17" s="2">
        <f>E14-E15-E16</f>
        <v>9248000.0000000019</v>
      </c>
      <c r="F17" s="2">
        <f>F14-F15-F16</f>
        <v>10312800.000000004</v>
      </c>
      <c r="G17" s="2">
        <f>G14-G15-G16</f>
        <v>11484080.000000004</v>
      </c>
    </row>
    <row r="18" spans="1:8" x14ac:dyDescent="0.25">
      <c r="A18" t="s">
        <v>46</v>
      </c>
      <c r="C18" s="2">
        <f>C17*B10</f>
        <v>1849999.9999999995</v>
      </c>
      <c r="D18" s="2">
        <f>D17*B10</f>
        <v>2070000</v>
      </c>
      <c r="E18" s="2">
        <f>E17*B10</f>
        <v>2312000.0000000005</v>
      </c>
      <c r="F18" s="2">
        <f>F17*B10</f>
        <v>2578200.0000000009</v>
      </c>
      <c r="G18" s="2">
        <f>G17*B10</f>
        <v>2871020.0000000009</v>
      </c>
    </row>
    <row r="19" spans="1:8" x14ac:dyDescent="0.25">
      <c r="A19" t="s">
        <v>47</v>
      </c>
      <c r="C19" s="2">
        <f>C17-C18</f>
        <v>5549999.9999999981</v>
      </c>
      <c r="D19" s="2">
        <f>D17-D18</f>
        <v>6210000</v>
      </c>
      <c r="E19" s="2">
        <f>E17-E18</f>
        <v>6936000.0000000019</v>
      </c>
      <c r="F19" s="2">
        <f>F17-F18</f>
        <v>7734600.0000000028</v>
      </c>
      <c r="G19" s="2">
        <f>G17-G18</f>
        <v>8613060.0000000037</v>
      </c>
    </row>
    <row r="20" spans="1:8" x14ac:dyDescent="0.25">
      <c r="A20" t="s">
        <v>48</v>
      </c>
      <c r="C20" s="2">
        <f>C16</f>
        <v>1400000</v>
      </c>
      <c r="D20" s="2">
        <f>D16</f>
        <v>1400000</v>
      </c>
      <c r="E20" s="2">
        <f>E16</f>
        <v>1400000</v>
      </c>
      <c r="F20" s="2">
        <f>F16</f>
        <v>1400000</v>
      </c>
      <c r="G20" s="2">
        <f>G16</f>
        <v>1400000</v>
      </c>
    </row>
    <row r="21" spans="1:8" x14ac:dyDescent="0.25">
      <c r="A21" t="s">
        <v>40</v>
      </c>
      <c r="B21" s="2">
        <f>-B5</f>
        <v>-1000000</v>
      </c>
      <c r="G21" s="2">
        <f>B5</f>
        <v>1000000</v>
      </c>
    </row>
    <row r="22" spans="1:8" x14ac:dyDescent="0.25">
      <c r="A22" t="s">
        <v>49</v>
      </c>
      <c r="B22" s="2">
        <f>-B13+B21</f>
        <v>-8000000</v>
      </c>
      <c r="C22" s="2">
        <f>C19+C20+C21</f>
        <v>6949999.9999999981</v>
      </c>
      <c r="D22" s="2">
        <f>D19+D20+D21</f>
        <v>7610000</v>
      </c>
      <c r="E22" s="2">
        <f>E19+E20+E21</f>
        <v>8336000.0000000019</v>
      </c>
      <c r="F22" s="2">
        <f>F19+F20+F21</f>
        <v>9134600.0000000037</v>
      </c>
      <c r="G22" s="2">
        <f>G19+G20+G21</f>
        <v>11013060.000000004</v>
      </c>
    </row>
    <row r="23" spans="1:8" x14ac:dyDescent="0.25">
      <c r="A23" t="s">
        <v>50</v>
      </c>
      <c r="B23" s="2">
        <f>B22</f>
        <v>-8000000</v>
      </c>
      <c r="C23" s="2">
        <f>C22+B23</f>
        <v>-1050000.0000000019</v>
      </c>
      <c r="D23" s="2">
        <f>D22+C23</f>
        <v>6559999.9999999981</v>
      </c>
      <c r="E23" s="2">
        <f>E22+D23</f>
        <v>14896000</v>
      </c>
      <c r="F23" s="2">
        <f>F22+E23</f>
        <v>24030600.000000004</v>
      </c>
      <c r="G23" s="2">
        <f>G22+F23</f>
        <v>35043660.000000007</v>
      </c>
      <c r="H23" s="2"/>
    </row>
    <row r="24" spans="1:8" x14ac:dyDescent="0.25">
      <c r="A24" t="s">
        <v>51</v>
      </c>
      <c r="B24" s="9">
        <f>1/(1+B6)^B12</f>
        <v>1</v>
      </c>
      <c r="C24" s="9">
        <f>1/(1+B6)^C12</f>
        <v>0.89285714285714279</v>
      </c>
      <c r="D24" s="9">
        <f>1/(1+B6)^D12</f>
        <v>0.79719387755102034</v>
      </c>
      <c r="E24" s="9">
        <f>1/(1+B6)^E12</f>
        <v>0.71178024781341087</v>
      </c>
      <c r="F24" s="9">
        <f>1/(1+B6)^F12</f>
        <v>0.63551807840483121</v>
      </c>
      <c r="G24" s="9">
        <f>1/(1+B6)^G12</f>
        <v>0.56742685571859919</v>
      </c>
    </row>
    <row r="25" spans="1:8" x14ac:dyDescent="0.25">
      <c r="A25" t="s">
        <v>26</v>
      </c>
      <c r="B25" s="2">
        <f t="shared" ref="B25:G25" si="1">B22*B24</f>
        <v>-8000000</v>
      </c>
      <c r="C25" s="2">
        <f t="shared" si="1"/>
        <v>6205357.1428571409</v>
      </c>
      <c r="D25" s="2">
        <f t="shared" si="1"/>
        <v>6066645.4081632644</v>
      </c>
      <c r="E25" s="2">
        <f t="shared" si="1"/>
        <v>5933400.145772594</v>
      </c>
      <c r="F25" s="2">
        <f t="shared" si="1"/>
        <v>5805203.4389967732</v>
      </c>
      <c r="G25" s="2">
        <f t="shared" si="1"/>
        <v>6249106.007640278</v>
      </c>
    </row>
    <row r="26" spans="1:8" x14ac:dyDescent="0.25">
      <c r="A26" t="s">
        <v>27</v>
      </c>
      <c r="B26" s="2">
        <f>SUM(C25:G25)</f>
        <v>30259712.143430054</v>
      </c>
      <c r="E26" s="2"/>
    </row>
    <row r="27" spans="1:8" x14ac:dyDescent="0.25">
      <c r="A27" t="s">
        <v>52</v>
      </c>
      <c r="B27" s="2">
        <f>-B25</f>
        <v>8000000</v>
      </c>
      <c r="E27" s="2"/>
    </row>
    <row r="29" spans="1:8" x14ac:dyDescent="0.25">
      <c r="A29" s="4" t="s">
        <v>53</v>
      </c>
      <c r="B29" s="10"/>
      <c r="C29" s="11">
        <f>B26-B27</f>
        <v>22259712.143430054</v>
      </c>
      <c r="D29" s="4" t="s">
        <v>30</v>
      </c>
      <c r="E29" s="12">
        <f>NPV(B6,C22:G22)+(B22)</f>
        <v>22259712.14343005</v>
      </c>
      <c r="F29" s="13"/>
    </row>
    <row r="30" spans="1:8" x14ac:dyDescent="0.25">
      <c r="A30" s="4" t="s">
        <v>54</v>
      </c>
      <c r="B30" s="10"/>
      <c r="C30" s="10"/>
      <c r="D30" s="4" t="s">
        <v>32</v>
      </c>
      <c r="E30" s="15">
        <f>IRR(B22:G22)</f>
        <v>0.91479138708920837</v>
      </c>
      <c r="F30" s="7"/>
    </row>
    <row r="31" spans="1:8" x14ac:dyDescent="0.25">
      <c r="A31" s="4" t="s">
        <v>55</v>
      </c>
      <c r="B31" s="10"/>
      <c r="C31" s="10"/>
      <c r="D31" s="10"/>
      <c r="E31" s="16">
        <f>C12+ABS(C23/D22)</f>
        <v>1.1379763469119581</v>
      </c>
    </row>
    <row r="32" spans="1:8" x14ac:dyDescent="0.25">
      <c r="A32" s="4" t="s">
        <v>56</v>
      </c>
      <c r="B32" s="10"/>
      <c r="C32" s="10"/>
      <c r="D32" s="10"/>
      <c r="E32" s="16">
        <f>B26/B27</f>
        <v>3.7824640179287567</v>
      </c>
    </row>
  </sheetData>
  <mergeCells count="1">
    <mergeCell ref="B1:C1"/>
  </mergeCells>
  <pageMargins left="0.7" right="0.7" top="0.75" bottom="0.75" header="0.51180555555555496" footer="0.51180555555555496"/>
  <pageSetup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</sheetPr>
  <dimension ref="A1:H28"/>
  <sheetViews>
    <sheetView zoomScaleNormal="100" workbookViewId="0">
      <selection activeCell="A29" sqref="A29"/>
    </sheetView>
  </sheetViews>
  <sheetFormatPr defaultColWidth="8.42578125" defaultRowHeight="15" x14ac:dyDescent="0.25"/>
  <cols>
    <col min="1" max="1" width="60.42578125" customWidth="1"/>
    <col min="2" max="3" width="11.28515625" customWidth="1"/>
    <col min="4" max="4" width="12.42578125" customWidth="1"/>
    <col min="5" max="8" width="11.28515625" customWidth="1"/>
  </cols>
  <sheetData>
    <row r="1" spans="1:8" x14ac:dyDescent="0.25">
      <c r="A1" s="1" t="s">
        <v>57</v>
      </c>
      <c r="B1" s="21" t="s">
        <v>58</v>
      </c>
      <c r="C1" s="21"/>
      <c r="D1" s="21"/>
    </row>
    <row r="2" spans="1:8" x14ac:dyDescent="0.25">
      <c r="A2" t="s">
        <v>59</v>
      </c>
      <c r="B2" s="2">
        <v>2000000</v>
      </c>
    </row>
    <row r="3" spans="1:8" x14ac:dyDescent="0.25">
      <c r="A3" t="s">
        <v>3</v>
      </c>
      <c r="B3">
        <v>6</v>
      </c>
    </row>
    <row r="4" spans="1:8" x14ac:dyDescent="0.25">
      <c r="A4" t="s">
        <v>6</v>
      </c>
      <c r="B4" s="3">
        <v>0.1</v>
      </c>
    </row>
    <row r="5" spans="1:8" x14ac:dyDescent="0.25">
      <c r="A5" t="s">
        <v>60</v>
      </c>
      <c r="B5" s="2">
        <v>20000000</v>
      </c>
    </row>
    <row r="6" spans="1:8" x14ac:dyDescent="0.25">
      <c r="A6" t="s">
        <v>61</v>
      </c>
      <c r="B6" s="2">
        <f>B5*0.6</f>
        <v>12000000</v>
      </c>
    </row>
    <row r="7" spans="1:8" x14ac:dyDescent="0.25">
      <c r="A7" t="s">
        <v>43</v>
      </c>
      <c r="B7" s="3">
        <v>0.15</v>
      </c>
    </row>
    <row r="8" spans="1:8" x14ac:dyDescent="0.25">
      <c r="A8" t="s">
        <v>11</v>
      </c>
      <c r="B8" s="3">
        <v>0.25</v>
      </c>
    </row>
    <row r="10" spans="1:8" x14ac:dyDescent="0.25">
      <c r="A10" s="4" t="s">
        <v>12</v>
      </c>
      <c r="B10" s="4">
        <v>0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</row>
    <row r="11" spans="1:8" x14ac:dyDescent="0.25">
      <c r="A11" t="s">
        <v>62</v>
      </c>
      <c r="C11" s="2">
        <f>B2</f>
        <v>2000000</v>
      </c>
      <c r="D11" s="2">
        <f>B2</f>
        <v>2000000</v>
      </c>
      <c r="E11" s="2">
        <f>B2</f>
        <v>2000000</v>
      </c>
      <c r="F11" s="2">
        <f>B2</f>
        <v>2000000</v>
      </c>
      <c r="G11" s="2">
        <f>B2</f>
        <v>2000000</v>
      </c>
      <c r="H11" s="2">
        <f>B2</f>
        <v>2000000</v>
      </c>
    </row>
    <row r="12" spans="1:8" x14ac:dyDescent="0.25">
      <c r="A12" t="s">
        <v>63</v>
      </c>
      <c r="B12" s="2">
        <f>-PV(B4,B3,B2,0)</f>
        <v>8710521.398924455</v>
      </c>
    </row>
    <row r="13" spans="1:8" x14ac:dyDescent="0.25">
      <c r="A13" t="s">
        <v>9</v>
      </c>
      <c r="C13" s="2">
        <f>B5*(1+B7)</f>
        <v>23000000</v>
      </c>
      <c r="D13" s="2">
        <f>C13*(1+B7)</f>
        <v>26449999.999999996</v>
      </c>
      <c r="E13" s="2">
        <f>D13*(1+B7)</f>
        <v>30417499.999999993</v>
      </c>
      <c r="F13" s="2">
        <f>E13*(1+B7)</f>
        <v>34980124.999999985</v>
      </c>
      <c r="G13" s="2">
        <f>F13*(1+B7)</f>
        <v>40227143.749999978</v>
      </c>
      <c r="H13" s="2">
        <f>G13*(1+B7)</f>
        <v>46261215.31249997</v>
      </c>
    </row>
    <row r="14" spans="1:8" x14ac:dyDescent="0.25">
      <c r="A14" t="s">
        <v>64</v>
      </c>
      <c r="C14" s="2">
        <f>B6*(1+B7)</f>
        <v>13799999.999999998</v>
      </c>
      <c r="D14" s="2">
        <f>C14*(1+B7)</f>
        <v>15869999.999999996</v>
      </c>
      <c r="E14" s="2">
        <f>D14*(1+B7)</f>
        <v>18250499.999999993</v>
      </c>
      <c r="F14" s="2">
        <f>E14*(1+B7)</f>
        <v>20988074.999999989</v>
      </c>
      <c r="G14" s="2">
        <f>F14*(1+B7)</f>
        <v>24136286.249999985</v>
      </c>
      <c r="H14" s="2">
        <f>G14*(1+B7)</f>
        <v>27756729.187499981</v>
      </c>
    </row>
    <row r="15" spans="1:8" x14ac:dyDescent="0.25">
      <c r="A15" t="s">
        <v>45</v>
      </c>
      <c r="C15" s="2">
        <f t="shared" ref="C15:H15" si="0">C13-C14</f>
        <v>9200000.0000000019</v>
      </c>
      <c r="D15" s="2">
        <f t="shared" si="0"/>
        <v>10580000</v>
      </c>
      <c r="E15" s="2">
        <f t="shared" si="0"/>
        <v>12167000</v>
      </c>
      <c r="F15" s="2">
        <f t="shared" si="0"/>
        <v>13992049.999999996</v>
      </c>
      <c r="G15" s="2">
        <f t="shared" si="0"/>
        <v>16090857.499999993</v>
      </c>
      <c r="H15" s="2">
        <f t="shared" si="0"/>
        <v>18504486.124999989</v>
      </c>
    </row>
    <row r="16" spans="1:8" x14ac:dyDescent="0.25">
      <c r="A16" t="s">
        <v>65</v>
      </c>
      <c r="C16" s="2">
        <f>C15*B8</f>
        <v>2300000.0000000005</v>
      </c>
      <c r="D16" s="2">
        <f>D15*B8</f>
        <v>2645000</v>
      </c>
      <c r="E16" s="2">
        <f>E15*B8</f>
        <v>3041750</v>
      </c>
      <c r="F16" s="2">
        <f>F15*B8</f>
        <v>3498012.4999999991</v>
      </c>
      <c r="G16" s="2">
        <f>G15*B8</f>
        <v>4022714.3749999981</v>
      </c>
      <c r="H16" s="2">
        <f>H15*B8</f>
        <v>4626121.5312499972</v>
      </c>
    </row>
    <row r="17" spans="1:8" x14ac:dyDescent="0.25">
      <c r="A17" t="s">
        <v>66</v>
      </c>
      <c r="C17" s="2">
        <f t="shared" ref="C17:H17" si="1">C15-C16</f>
        <v>6900000.0000000019</v>
      </c>
      <c r="D17" s="2">
        <f t="shared" si="1"/>
        <v>7935000</v>
      </c>
      <c r="E17" s="2">
        <f t="shared" si="1"/>
        <v>9125250</v>
      </c>
      <c r="F17" s="2">
        <f t="shared" si="1"/>
        <v>10494037.499999996</v>
      </c>
      <c r="G17" s="2">
        <f t="shared" si="1"/>
        <v>12068143.124999994</v>
      </c>
      <c r="H17" s="2">
        <f t="shared" si="1"/>
        <v>13878364.593749993</v>
      </c>
    </row>
    <row r="18" spans="1:8" x14ac:dyDescent="0.25">
      <c r="A18" t="s">
        <v>23</v>
      </c>
      <c r="B18" s="2">
        <f>-B12</f>
        <v>-8710521.398924455</v>
      </c>
      <c r="C18" s="2">
        <f t="shared" ref="C18:H18" si="2">C17</f>
        <v>6900000.0000000019</v>
      </c>
      <c r="D18" s="2">
        <f t="shared" si="2"/>
        <v>7935000</v>
      </c>
      <c r="E18" s="2">
        <f t="shared" si="2"/>
        <v>9125250</v>
      </c>
      <c r="F18" s="2">
        <f t="shared" si="2"/>
        <v>10494037.499999996</v>
      </c>
      <c r="G18" s="2">
        <f t="shared" si="2"/>
        <v>12068143.124999994</v>
      </c>
      <c r="H18" s="2">
        <f t="shared" si="2"/>
        <v>13878364.593749993</v>
      </c>
    </row>
    <row r="19" spans="1:8" x14ac:dyDescent="0.25">
      <c r="A19" t="s">
        <v>67</v>
      </c>
      <c r="B19" s="9">
        <f>1/(1+B4)^B10</f>
        <v>1</v>
      </c>
      <c r="C19" s="9">
        <f>1/(1+B4)^C10</f>
        <v>0.90909090909090906</v>
      </c>
      <c r="D19" s="9">
        <f>1/(1+B4)^D10</f>
        <v>0.82644628099173545</v>
      </c>
      <c r="E19" s="9">
        <f>1/(1+B4)^E10</f>
        <v>0.75131480090157754</v>
      </c>
      <c r="F19" s="9">
        <f>1/(1+B4)^F10</f>
        <v>0.68301345536507052</v>
      </c>
      <c r="G19" s="9">
        <f>1/(1+B4)^G10</f>
        <v>0.62092132305915493</v>
      </c>
      <c r="H19" s="9">
        <f>1/(1+B4)^H10</f>
        <v>0.56447393005377722</v>
      </c>
    </row>
    <row r="20" spans="1:8" x14ac:dyDescent="0.25">
      <c r="A20" t="s">
        <v>26</v>
      </c>
      <c r="B20" s="2">
        <f t="shared" ref="B20:H20" si="3">B18*B19</f>
        <v>-8710521.398924455</v>
      </c>
      <c r="C20" s="2">
        <f t="shared" si="3"/>
        <v>6272727.2727272743</v>
      </c>
      <c r="D20" s="2">
        <f t="shared" si="3"/>
        <v>6557851.2396694208</v>
      </c>
      <c r="E20" s="2">
        <f t="shared" si="3"/>
        <v>6855935.3869271204</v>
      </c>
      <c r="F20" s="2">
        <f t="shared" si="3"/>
        <v>7167568.8136056233</v>
      </c>
      <c r="G20" s="2">
        <f t="shared" si="3"/>
        <v>7493367.3960422408</v>
      </c>
      <c r="H20" s="2">
        <f t="shared" si="3"/>
        <v>7833975.0049532512</v>
      </c>
    </row>
    <row r="21" spans="1:8" x14ac:dyDescent="0.25">
      <c r="A21" s="18" t="s">
        <v>50</v>
      </c>
      <c r="B21" s="2">
        <f>B18</f>
        <v>-8710521.398924455</v>
      </c>
      <c r="C21" s="2">
        <f t="shared" ref="C21:H21" si="4">B21+C18</f>
        <v>-1810521.3989244532</v>
      </c>
      <c r="D21" s="2">
        <f t="shared" si="4"/>
        <v>6124478.6010755468</v>
      </c>
      <c r="E21" s="2">
        <f t="shared" si="4"/>
        <v>15249728.601075547</v>
      </c>
      <c r="F21" s="2">
        <f t="shared" si="4"/>
        <v>25743766.101075545</v>
      </c>
      <c r="G21" s="2">
        <f t="shared" si="4"/>
        <v>37811909.226075538</v>
      </c>
      <c r="H21" s="2">
        <f t="shared" si="4"/>
        <v>51690273.81982553</v>
      </c>
    </row>
    <row r="22" spans="1:8" x14ac:dyDescent="0.25">
      <c r="A22" t="s">
        <v>27</v>
      </c>
      <c r="B22" s="2">
        <f>SUM(C20:H20)</f>
        <v>42181425.113924928</v>
      </c>
      <c r="E22" s="2"/>
    </row>
    <row r="23" spans="1:8" x14ac:dyDescent="0.25">
      <c r="A23" t="s">
        <v>68</v>
      </c>
      <c r="B23" s="2">
        <f>-B20</f>
        <v>8710521.398924455</v>
      </c>
      <c r="E23" s="2"/>
    </row>
    <row r="25" spans="1:8" x14ac:dyDescent="0.25">
      <c r="A25" s="4" t="s">
        <v>69</v>
      </c>
      <c r="B25" s="10"/>
      <c r="C25" s="11">
        <f>B22-B23</f>
        <v>33470903.715000473</v>
      </c>
      <c r="D25" s="4" t="s">
        <v>30</v>
      </c>
      <c r="E25" s="12">
        <f>NPV(B4,C18:H18)+(B18)</f>
        <v>33470903.715000473</v>
      </c>
    </row>
    <row r="26" spans="1:8" x14ac:dyDescent="0.25">
      <c r="A26" s="4" t="s">
        <v>70</v>
      </c>
      <c r="B26" s="10"/>
      <c r="C26" s="10"/>
      <c r="D26" s="4" t="s">
        <v>32</v>
      </c>
      <c r="E26" s="15">
        <f>IRR(B18:H18)</f>
        <v>0.90364396459635987</v>
      </c>
    </row>
    <row r="27" spans="1:8" x14ac:dyDescent="0.25">
      <c r="A27" s="4" t="s">
        <v>71</v>
      </c>
      <c r="B27" s="10"/>
      <c r="C27" s="10"/>
      <c r="D27" s="10"/>
      <c r="E27" s="16">
        <f>C10+ABS(C21/D18)</f>
        <v>1.228169048383674</v>
      </c>
    </row>
    <row r="28" spans="1:8" x14ac:dyDescent="0.25">
      <c r="A28" s="4" t="s">
        <v>72</v>
      </c>
      <c r="B28" s="10"/>
      <c r="C28" s="10"/>
      <c r="D28" s="10"/>
      <c r="E28" s="16">
        <f>B22/B23</f>
        <v>4.8425832601861636</v>
      </c>
    </row>
  </sheetData>
  <mergeCells count="1">
    <mergeCell ref="B1:D1"/>
  </mergeCells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"/>
  <sheetViews>
    <sheetView zoomScaleNormal="100" workbookViewId="0">
      <selection activeCell="A3" sqref="A3"/>
    </sheetView>
  </sheetViews>
  <sheetFormatPr defaultColWidth="8.42578125" defaultRowHeight="15" x14ac:dyDescent="0.25"/>
  <cols>
    <col min="1" max="1" width="39" customWidth="1"/>
    <col min="2" max="2" width="18.42578125" customWidth="1"/>
    <col min="3" max="3" width="15.85546875" customWidth="1"/>
    <col min="4" max="4" width="18.42578125" customWidth="1"/>
    <col min="5" max="5" width="22.42578125" customWidth="1"/>
  </cols>
  <sheetData>
    <row r="1" spans="1:5" x14ac:dyDescent="0.25">
      <c r="A1" s="19" t="s">
        <v>73</v>
      </c>
      <c r="B1" s="19" t="s">
        <v>74</v>
      </c>
      <c r="C1" s="19" t="s">
        <v>75</v>
      </c>
      <c r="D1" s="19" t="s">
        <v>76</v>
      </c>
      <c r="E1" s="19" t="s">
        <v>77</v>
      </c>
    </row>
    <row r="2" spans="1:5" x14ac:dyDescent="0.25">
      <c r="A2" s="20" t="s">
        <v>78</v>
      </c>
      <c r="B2" s="13">
        <f>ProjectA!E30</f>
        <v>44262268.647196032</v>
      </c>
      <c r="C2" s="9">
        <f>ProjectA!E32</f>
        <v>1.3565903417670806</v>
      </c>
      <c r="D2" s="9">
        <f>ProjectA!E33</f>
        <v>5.4262268647196015</v>
      </c>
      <c r="E2" s="7">
        <f>ProjectA!E31</f>
        <v>0.79793436489987868</v>
      </c>
    </row>
    <row r="3" spans="1:5" x14ac:dyDescent="0.25">
      <c r="A3" s="20" t="s">
        <v>79</v>
      </c>
      <c r="B3" s="13">
        <f>ProjectB!E29</f>
        <v>22259712.14343005</v>
      </c>
      <c r="C3" s="9">
        <f>ProjectB!E31</f>
        <v>1.1379763469119581</v>
      </c>
      <c r="D3" s="9">
        <f>ProjectB!E32</f>
        <v>3.7824640179287567</v>
      </c>
      <c r="E3" s="7">
        <f>ProjectB!E30</f>
        <v>0.91479138708920837</v>
      </c>
    </row>
    <row r="4" spans="1:5" x14ac:dyDescent="0.25">
      <c r="A4" s="20" t="s">
        <v>80</v>
      </c>
      <c r="B4" s="13">
        <f>ProjectC!E25</f>
        <v>33470903.715000473</v>
      </c>
      <c r="C4" s="9">
        <f>ProjectC!E27</f>
        <v>1.228169048383674</v>
      </c>
      <c r="D4" s="9">
        <f>ProjectC!E28</f>
        <v>4.8425832601861636</v>
      </c>
      <c r="E4" s="7">
        <f>ProjectC!E26</f>
        <v>0.90364396459635987</v>
      </c>
    </row>
  </sheetData>
  <pageMargins left="0.7" right="0.7" top="0.75" bottom="0.75" header="0.51180555555555496" footer="0.51180555555555496"/>
  <pageSetup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106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46.28515625" customWidth="1"/>
    <col min="2" max="2" width="21.42578125" customWidth="1"/>
    <col min="3" max="3" width="14.85546875" customWidth="1"/>
    <col min="4" max="4" width="17.42578125" customWidth="1"/>
    <col min="5" max="5" width="21.28515625" customWidth="1"/>
    <col min="6" max="6" width="14.42578125" customWidth="1"/>
    <col min="7" max="7" width="13.42578125" customWidth="1"/>
    <col min="8" max="8" width="14.42578125" customWidth="1"/>
    <col min="9" max="10" width="11.85546875" customWidth="1"/>
    <col min="11" max="11" width="12.28515625" customWidth="1"/>
  </cols>
  <sheetData>
    <row r="1" spans="1:11" x14ac:dyDescent="0.25">
      <c r="A1" s="1" t="s">
        <v>0</v>
      </c>
      <c r="B1" s="1" t="s">
        <v>1</v>
      </c>
      <c r="F1" s="2"/>
    </row>
    <row r="2" spans="1:11" x14ac:dyDescent="0.25">
      <c r="A2" t="s">
        <v>2</v>
      </c>
      <c r="B2" s="2">
        <v>10000000</v>
      </c>
      <c r="F2" s="2"/>
    </row>
    <row r="3" spans="1:11" x14ac:dyDescent="0.25">
      <c r="A3" t="s">
        <v>3</v>
      </c>
      <c r="B3">
        <v>8</v>
      </c>
      <c r="F3" s="2"/>
    </row>
    <row r="4" spans="1:11" x14ac:dyDescent="0.25">
      <c r="A4" t="s">
        <v>4</v>
      </c>
      <c r="B4" s="3">
        <v>0.05</v>
      </c>
      <c r="F4" s="3"/>
    </row>
    <row r="5" spans="1:11" x14ac:dyDescent="0.25">
      <c r="A5" t="s">
        <v>5</v>
      </c>
      <c r="B5" s="2">
        <v>500000</v>
      </c>
      <c r="F5" s="2"/>
    </row>
    <row r="6" spans="1:11" x14ac:dyDescent="0.25">
      <c r="A6" t="s">
        <v>6</v>
      </c>
      <c r="B6" s="3">
        <v>0.08</v>
      </c>
    </row>
    <row r="7" spans="1:11" x14ac:dyDescent="0.25">
      <c r="A7" t="s">
        <v>7</v>
      </c>
      <c r="B7" t="s">
        <v>8</v>
      </c>
    </row>
    <row r="8" spans="1:11" x14ac:dyDescent="0.25">
      <c r="A8" t="s">
        <v>9</v>
      </c>
      <c r="B8" s="2">
        <v>20000000</v>
      </c>
    </row>
    <row r="9" spans="1:11" x14ac:dyDescent="0.25">
      <c r="A9" t="s">
        <v>10</v>
      </c>
      <c r="B9" s="2">
        <f>B8*0.6</f>
        <v>12000000</v>
      </c>
    </row>
    <row r="10" spans="1:11" x14ac:dyDescent="0.25">
      <c r="A10" t="s">
        <v>11</v>
      </c>
      <c r="B10" s="3">
        <v>0.25</v>
      </c>
    </row>
    <row r="12" spans="1:11" x14ac:dyDescent="0.25">
      <c r="A12" s="4" t="s">
        <v>12</v>
      </c>
      <c r="B12" s="4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</row>
    <row r="13" spans="1:11" x14ac:dyDescent="0.25">
      <c r="A13" t="s">
        <v>13</v>
      </c>
      <c r="B13" s="2">
        <f>B2</f>
        <v>10000000</v>
      </c>
    </row>
    <row r="14" spans="1:11" x14ac:dyDescent="0.25">
      <c r="A14" t="s">
        <v>14</v>
      </c>
      <c r="C14" s="2">
        <v>20000000</v>
      </c>
      <c r="D14" s="2">
        <v>20000000</v>
      </c>
      <c r="E14" s="2">
        <v>20000000</v>
      </c>
      <c r="F14" s="2">
        <v>20000000</v>
      </c>
      <c r="G14" s="2">
        <v>20000000</v>
      </c>
      <c r="H14" s="2">
        <v>20000000</v>
      </c>
      <c r="I14" s="2">
        <v>20000000</v>
      </c>
      <c r="J14" s="2">
        <v>20000000</v>
      </c>
      <c r="K14" s="2"/>
    </row>
    <row r="15" spans="1:11" x14ac:dyDescent="0.25">
      <c r="A15" t="s">
        <v>15</v>
      </c>
      <c r="B15" s="5"/>
      <c r="C15" s="2">
        <f>C14*0.55</f>
        <v>11000000</v>
      </c>
      <c r="D15" s="2">
        <f>D14*0.5</f>
        <v>10000000</v>
      </c>
      <c r="E15" s="2">
        <f>E14*0.45</f>
        <v>9000000</v>
      </c>
      <c r="F15" s="2">
        <f>F14*0.4</f>
        <v>8000000</v>
      </c>
      <c r="G15" s="2">
        <f>G14*0.35</f>
        <v>7000000</v>
      </c>
      <c r="H15" s="2">
        <f>H14*0.3</f>
        <v>6000000</v>
      </c>
      <c r="I15" s="2">
        <f>I14*0.25</f>
        <v>5000000</v>
      </c>
      <c r="J15" s="2">
        <f>J14*0.2</f>
        <v>4000000</v>
      </c>
      <c r="K15" s="6"/>
    </row>
    <row r="16" spans="1:11" x14ac:dyDescent="0.25">
      <c r="A16" t="s">
        <v>16</v>
      </c>
      <c r="C16" s="7">
        <v>0.1429</v>
      </c>
      <c r="D16" s="7">
        <v>0.24490000000000001</v>
      </c>
      <c r="E16" s="7">
        <v>0.1749</v>
      </c>
      <c r="F16" s="7">
        <v>0.1249</v>
      </c>
      <c r="G16" s="7">
        <v>8.9300000000000004E-2</v>
      </c>
      <c r="H16" s="7">
        <v>8.9200000000000002E-2</v>
      </c>
      <c r="I16" s="7">
        <v>8.9300000000000004E-2</v>
      </c>
      <c r="J16" s="7">
        <v>4.4600000000000001E-2</v>
      </c>
    </row>
    <row r="17" spans="1:11" x14ac:dyDescent="0.25">
      <c r="A17" t="s">
        <v>17</v>
      </c>
      <c r="C17" s="2">
        <f>B13*C16</f>
        <v>1429000</v>
      </c>
      <c r="D17" s="2">
        <f>B13*D16</f>
        <v>2449000</v>
      </c>
      <c r="E17" s="2">
        <f>B13*E16</f>
        <v>1749000</v>
      </c>
      <c r="F17" s="2">
        <f>B13*F16</f>
        <v>1249000</v>
      </c>
      <c r="G17" s="2">
        <f>B13*G16</f>
        <v>893000</v>
      </c>
      <c r="H17" s="2">
        <f>B13*H16</f>
        <v>892000</v>
      </c>
      <c r="I17" s="2">
        <f>B13*I16</f>
        <v>893000</v>
      </c>
      <c r="J17" s="2">
        <f>B13*J16</f>
        <v>446000</v>
      </c>
      <c r="K17" s="2"/>
    </row>
    <row r="18" spans="1:11" x14ac:dyDescent="0.25">
      <c r="A18" t="s">
        <v>18</v>
      </c>
      <c r="C18" s="2">
        <f t="shared" ref="C18:J18" si="0">C14-C15-C17</f>
        <v>7571000</v>
      </c>
      <c r="D18" s="2">
        <f t="shared" si="0"/>
        <v>7551000</v>
      </c>
      <c r="E18" s="2">
        <f t="shared" si="0"/>
        <v>9251000</v>
      </c>
      <c r="F18" s="2">
        <f t="shared" si="0"/>
        <v>10751000</v>
      </c>
      <c r="G18" s="2">
        <f t="shared" si="0"/>
        <v>12107000</v>
      </c>
      <c r="H18" s="2">
        <f t="shared" si="0"/>
        <v>13108000</v>
      </c>
      <c r="I18" s="2">
        <f t="shared" si="0"/>
        <v>14107000</v>
      </c>
      <c r="J18" s="2">
        <f t="shared" si="0"/>
        <v>15554000</v>
      </c>
    </row>
    <row r="19" spans="1:11" x14ac:dyDescent="0.25">
      <c r="A19" t="s">
        <v>19</v>
      </c>
      <c r="C19" s="5">
        <f>C18*B10</f>
        <v>1892750</v>
      </c>
      <c r="D19" s="5">
        <f>D18*B10</f>
        <v>1887750</v>
      </c>
      <c r="E19" s="5">
        <f>E18*B10</f>
        <v>2312750</v>
      </c>
      <c r="F19" s="5">
        <f>F18*B10</f>
        <v>2687750</v>
      </c>
      <c r="G19" s="5">
        <f>G18*B10</f>
        <v>3026750</v>
      </c>
      <c r="H19" s="5">
        <f>H18*B10</f>
        <v>3277000</v>
      </c>
      <c r="I19" s="5">
        <f>I18*B10</f>
        <v>3526750</v>
      </c>
      <c r="J19" s="5">
        <f>J18*B10</f>
        <v>3888500</v>
      </c>
    </row>
    <row r="20" spans="1:11" x14ac:dyDescent="0.25">
      <c r="A20" t="s">
        <v>20</v>
      </c>
      <c r="C20" s="2">
        <f t="shared" ref="C20:J20" si="1">C18-C19</f>
        <v>5678250</v>
      </c>
      <c r="D20" s="2">
        <f t="shared" si="1"/>
        <v>5663250</v>
      </c>
      <c r="E20" s="2">
        <f t="shared" si="1"/>
        <v>6938250</v>
      </c>
      <c r="F20" s="2">
        <f t="shared" si="1"/>
        <v>8063250</v>
      </c>
      <c r="G20" s="2">
        <f t="shared" si="1"/>
        <v>9080250</v>
      </c>
      <c r="H20" s="2">
        <f t="shared" si="1"/>
        <v>9831000</v>
      </c>
      <c r="I20" s="2">
        <f t="shared" si="1"/>
        <v>10580250</v>
      </c>
      <c r="J20" s="2">
        <f t="shared" si="1"/>
        <v>11665500</v>
      </c>
    </row>
    <row r="21" spans="1:11" x14ac:dyDescent="0.25">
      <c r="A21" t="s">
        <v>21</v>
      </c>
      <c r="C21" s="2">
        <f t="shared" ref="C21:J21" si="2">C17</f>
        <v>1429000</v>
      </c>
      <c r="D21" s="2">
        <f t="shared" si="2"/>
        <v>2449000</v>
      </c>
      <c r="E21" s="2">
        <f t="shared" si="2"/>
        <v>1749000</v>
      </c>
      <c r="F21" s="2">
        <f t="shared" si="2"/>
        <v>1249000</v>
      </c>
      <c r="G21" s="2">
        <f t="shared" si="2"/>
        <v>893000</v>
      </c>
      <c r="H21" s="2">
        <f t="shared" si="2"/>
        <v>892000</v>
      </c>
      <c r="I21" s="2">
        <f t="shared" si="2"/>
        <v>893000</v>
      </c>
      <c r="J21" s="2">
        <f t="shared" si="2"/>
        <v>446000</v>
      </c>
    </row>
    <row r="22" spans="1:11" x14ac:dyDescent="0.25">
      <c r="A22" t="s">
        <v>22</v>
      </c>
      <c r="J22" s="2">
        <f>B5-(B5*B10)</f>
        <v>375000</v>
      </c>
    </row>
    <row r="23" spans="1:11" x14ac:dyDescent="0.25">
      <c r="A23" t="s">
        <v>23</v>
      </c>
      <c r="B23" s="8">
        <f>-B13</f>
        <v>-10000000</v>
      </c>
      <c r="C23" s="8">
        <f t="shared" ref="C23:J23" si="3">C20+C21+C22</f>
        <v>7107250</v>
      </c>
      <c r="D23" s="8">
        <f t="shared" si="3"/>
        <v>8112250</v>
      </c>
      <c r="E23" s="8">
        <f t="shared" si="3"/>
        <v>8687250</v>
      </c>
      <c r="F23" s="8">
        <f t="shared" si="3"/>
        <v>9312250</v>
      </c>
      <c r="G23" s="8">
        <f t="shared" si="3"/>
        <v>9973250</v>
      </c>
      <c r="H23" s="8">
        <f t="shared" si="3"/>
        <v>10723000</v>
      </c>
      <c r="I23" s="8">
        <f t="shared" si="3"/>
        <v>11473250</v>
      </c>
      <c r="J23" s="8">
        <f t="shared" si="3"/>
        <v>12486500</v>
      </c>
    </row>
    <row r="24" spans="1:11" x14ac:dyDescent="0.25">
      <c r="A24" t="s">
        <v>24</v>
      </c>
      <c r="B24" s="2">
        <f>B23</f>
        <v>-10000000</v>
      </c>
      <c r="C24" s="2">
        <f t="shared" ref="C24:J24" si="4">C23+B24</f>
        <v>-2892750</v>
      </c>
      <c r="D24" s="2">
        <f t="shared" si="4"/>
        <v>5219500</v>
      </c>
      <c r="E24" s="2">
        <f t="shared" si="4"/>
        <v>13906750</v>
      </c>
      <c r="F24" s="2">
        <f t="shared" si="4"/>
        <v>23219000</v>
      </c>
      <c r="G24" s="2">
        <f t="shared" si="4"/>
        <v>33192250</v>
      </c>
      <c r="H24" s="2">
        <f t="shared" si="4"/>
        <v>43915250</v>
      </c>
      <c r="I24" s="2">
        <f t="shared" si="4"/>
        <v>55388500</v>
      </c>
      <c r="J24" s="2">
        <f t="shared" si="4"/>
        <v>67875000</v>
      </c>
    </row>
    <row r="25" spans="1:11" x14ac:dyDescent="0.25">
      <c r="A25" t="s">
        <v>25</v>
      </c>
      <c r="B25">
        <f>1/(1+B6)^B12</f>
        <v>1</v>
      </c>
      <c r="C25" s="9">
        <f>1/(1+B6)^C12</f>
        <v>0.92592592592592582</v>
      </c>
      <c r="D25" s="9">
        <f>1/(1+B6)^D12</f>
        <v>0.85733882030178321</v>
      </c>
      <c r="E25" s="9">
        <f>1/(1+B6)^E12</f>
        <v>0.79383224102016958</v>
      </c>
      <c r="F25" s="9">
        <f>1/(1+B6)^F12</f>
        <v>0.73502985279645328</v>
      </c>
      <c r="G25" s="9">
        <f>1/(1+B6)^G12</f>
        <v>0.68058319703375303</v>
      </c>
      <c r="H25" s="9">
        <f>1/(1+B6)^H12</f>
        <v>0.63016962688310452</v>
      </c>
      <c r="I25" s="9">
        <f>1/(1+B6)^I12</f>
        <v>0.58349039526213387</v>
      </c>
      <c r="J25" s="9">
        <f>1/(1+B6)^J12</f>
        <v>0.54026888450197574</v>
      </c>
    </row>
    <row r="26" spans="1:11" x14ac:dyDescent="0.25">
      <c r="A26" t="s">
        <v>26</v>
      </c>
      <c r="B26" s="2">
        <f t="shared" ref="B26:J26" si="5">B23*B25</f>
        <v>-10000000</v>
      </c>
      <c r="C26" s="2">
        <f t="shared" si="5"/>
        <v>6580787.0370370364</v>
      </c>
      <c r="D26" s="2">
        <f t="shared" si="5"/>
        <v>6954946.8449931405</v>
      </c>
      <c r="E26" s="2">
        <f t="shared" si="5"/>
        <v>6896219.1358024683</v>
      </c>
      <c r="F26" s="2">
        <f t="shared" si="5"/>
        <v>6844781.7467037719</v>
      </c>
      <c r="G26" s="2">
        <f t="shared" si="5"/>
        <v>6787626.3698168769</v>
      </c>
      <c r="H26" s="2">
        <f t="shared" si="5"/>
        <v>6757308.9090675302</v>
      </c>
      <c r="I26" s="2">
        <f t="shared" si="5"/>
        <v>6694531.1774412775</v>
      </c>
      <c r="J26" s="2">
        <f t="shared" si="5"/>
        <v>6746067.4263339201</v>
      </c>
      <c r="K26" s="2"/>
    </row>
    <row r="27" spans="1:11" x14ac:dyDescent="0.25">
      <c r="A27" t="s">
        <v>27</v>
      </c>
      <c r="B27" s="2">
        <f>SUM(C26:J26)</f>
        <v>54262268.647196017</v>
      </c>
      <c r="F27" s="2"/>
    </row>
    <row r="28" spans="1:11" x14ac:dyDescent="0.25">
      <c r="A28" t="s">
        <v>28</v>
      </c>
      <c r="B28" s="2">
        <f>B13</f>
        <v>10000000</v>
      </c>
      <c r="F28" s="2"/>
    </row>
    <row r="30" spans="1:11" x14ac:dyDescent="0.25">
      <c r="A30" s="4" t="s">
        <v>29</v>
      </c>
      <c r="B30" s="10"/>
      <c r="C30" s="11">
        <f>B27-B28</f>
        <v>44262268.647196017</v>
      </c>
      <c r="D30" s="4" t="s">
        <v>30</v>
      </c>
      <c r="E30" s="12">
        <f>NPV(B6,C23:J23)+(B23)</f>
        <v>44262268.647196032</v>
      </c>
      <c r="G30" s="13"/>
    </row>
    <row r="31" spans="1:11" x14ac:dyDescent="0.25">
      <c r="A31" s="4" t="s">
        <v>31</v>
      </c>
      <c r="B31" s="10"/>
      <c r="C31" s="14"/>
      <c r="D31" s="4" t="s">
        <v>32</v>
      </c>
      <c r="E31" s="15">
        <f>IRR(B23:J23)</f>
        <v>0.79793436489987868</v>
      </c>
      <c r="H31" s="7"/>
    </row>
    <row r="32" spans="1:11" x14ac:dyDescent="0.25">
      <c r="A32" s="4" t="s">
        <v>33</v>
      </c>
      <c r="B32" s="10"/>
      <c r="C32" s="10"/>
      <c r="D32" s="10"/>
      <c r="E32" s="16">
        <f>C12+ABS(C24/D23)</f>
        <v>1.3565903417670806</v>
      </c>
    </row>
    <row r="33" spans="1:7" x14ac:dyDescent="0.25">
      <c r="A33" s="4" t="s">
        <v>34</v>
      </c>
      <c r="B33" s="10"/>
      <c r="C33" s="10"/>
      <c r="D33" s="10"/>
      <c r="E33" s="16">
        <f>B27/B28</f>
        <v>5.4262268647196015</v>
      </c>
    </row>
    <row r="37" spans="1:7" x14ac:dyDescent="0.25">
      <c r="A37" s="1" t="s">
        <v>81</v>
      </c>
      <c r="B37" s="1" t="s">
        <v>82</v>
      </c>
    </row>
    <row r="38" spans="1:7" x14ac:dyDescent="0.25">
      <c r="A38" t="s">
        <v>37</v>
      </c>
      <c r="B38" s="2">
        <v>7000000</v>
      </c>
    </row>
    <row r="39" spans="1:7" x14ac:dyDescent="0.25">
      <c r="A39" t="s">
        <v>38</v>
      </c>
      <c r="B39">
        <v>5</v>
      </c>
    </row>
    <row r="40" spans="1:7" x14ac:dyDescent="0.25">
      <c r="A40" t="s">
        <v>39</v>
      </c>
      <c r="B40" s="2">
        <f>B38/B39</f>
        <v>1400000</v>
      </c>
    </row>
    <row r="41" spans="1:7" x14ac:dyDescent="0.25">
      <c r="A41" t="s">
        <v>40</v>
      </c>
      <c r="B41" s="2">
        <v>1000000</v>
      </c>
    </row>
    <row r="42" spans="1:7" x14ac:dyDescent="0.25">
      <c r="A42" t="s">
        <v>41</v>
      </c>
      <c r="B42" s="3">
        <v>0.12</v>
      </c>
    </row>
    <row r="43" spans="1:7" x14ac:dyDescent="0.25">
      <c r="A43" t="s">
        <v>42</v>
      </c>
      <c r="B43" s="2">
        <v>20000000</v>
      </c>
    </row>
    <row r="44" spans="1:7" x14ac:dyDescent="0.25">
      <c r="A44" t="s">
        <v>10</v>
      </c>
      <c r="B44" s="2">
        <f>B43*0.6</f>
        <v>12000000</v>
      </c>
    </row>
    <row r="45" spans="1:7" x14ac:dyDescent="0.25">
      <c r="A45" t="s">
        <v>43</v>
      </c>
      <c r="B45" s="3">
        <v>0.1</v>
      </c>
    </row>
    <row r="46" spans="1:7" x14ac:dyDescent="0.25">
      <c r="A46" t="s">
        <v>11</v>
      </c>
      <c r="B46" s="3">
        <v>0.3</v>
      </c>
    </row>
    <row r="48" spans="1:7" x14ac:dyDescent="0.25">
      <c r="A48" s="4" t="s">
        <v>12</v>
      </c>
      <c r="B48" s="4">
        <v>0</v>
      </c>
      <c r="C48" s="4">
        <v>1</v>
      </c>
      <c r="D48" s="4">
        <v>2</v>
      </c>
      <c r="E48" s="4">
        <v>3</v>
      </c>
      <c r="F48" s="4">
        <v>4</v>
      </c>
      <c r="G48" s="4">
        <v>5</v>
      </c>
    </row>
    <row r="49" spans="1:8" x14ac:dyDescent="0.25">
      <c r="A49" t="s">
        <v>13</v>
      </c>
      <c r="B49" s="2">
        <f>B38</f>
        <v>7000000</v>
      </c>
    </row>
    <row r="50" spans="1:8" x14ac:dyDescent="0.25">
      <c r="A50" t="s">
        <v>14</v>
      </c>
      <c r="C50" s="2">
        <f>B43*1.1</f>
        <v>22000000</v>
      </c>
      <c r="D50" s="2">
        <f t="shared" ref="D50:G51" si="6">C50*1.1</f>
        <v>24200000.000000004</v>
      </c>
      <c r="E50" s="2">
        <f t="shared" si="6"/>
        <v>26620000.000000007</v>
      </c>
      <c r="F50" s="2">
        <f t="shared" si="6"/>
        <v>29282000.000000011</v>
      </c>
      <c r="G50" s="2">
        <f t="shared" si="6"/>
        <v>32210200.000000015</v>
      </c>
    </row>
    <row r="51" spans="1:8" x14ac:dyDescent="0.25">
      <c r="A51" t="s">
        <v>44</v>
      </c>
      <c r="C51" s="2">
        <f>B44*1.1</f>
        <v>13200000.000000002</v>
      </c>
      <c r="D51" s="2">
        <f t="shared" si="6"/>
        <v>14520000.000000004</v>
      </c>
      <c r="E51" s="2">
        <f t="shared" si="6"/>
        <v>15972000.000000006</v>
      </c>
      <c r="F51" s="2">
        <f t="shared" si="6"/>
        <v>17569200.000000007</v>
      </c>
      <c r="G51" s="2">
        <f t="shared" si="6"/>
        <v>19326120.000000011</v>
      </c>
    </row>
    <row r="52" spans="1:8" x14ac:dyDescent="0.25">
      <c r="A52" t="s">
        <v>17</v>
      </c>
      <c r="C52" s="2">
        <f>B40</f>
        <v>1400000</v>
      </c>
      <c r="D52" s="2">
        <f>B40</f>
        <v>1400000</v>
      </c>
      <c r="E52" s="2">
        <f>B40</f>
        <v>1400000</v>
      </c>
      <c r="F52" s="2">
        <f>B40</f>
        <v>1400000</v>
      </c>
      <c r="G52" s="2">
        <f>B40</f>
        <v>1400000</v>
      </c>
    </row>
    <row r="53" spans="1:8" x14ac:dyDescent="0.25">
      <c r="A53" t="s">
        <v>45</v>
      </c>
      <c r="C53" s="2">
        <f>C50-C51-C52</f>
        <v>7399999.9999999981</v>
      </c>
      <c r="D53" s="2">
        <f>D50-D51-D52</f>
        <v>8280000</v>
      </c>
      <c r="E53" s="2">
        <f>E50-E51-E52</f>
        <v>9248000.0000000019</v>
      </c>
      <c r="F53" s="2">
        <f>F50-F51-F52</f>
        <v>10312800.000000004</v>
      </c>
      <c r="G53" s="2">
        <f>G50-G51-G52</f>
        <v>11484080.000000004</v>
      </c>
    </row>
    <row r="54" spans="1:8" x14ac:dyDescent="0.25">
      <c r="A54" t="s">
        <v>46</v>
      </c>
      <c r="C54" s="2">
        <f>C53*B46</f>
        <v>2219999.9999999995</v>
      </c>
      <c r="D54" s="2">
        <f>D53*B46</f>
        <v>2484000</v>
      </c>
      <c r="E54" s="2">
        <f>E53*B46</f>
        <v>2774400.0000000005</v>
      </c>
      <c r="F54" s="2">
        <f>F53*B46</f>
        <v>3093840.0000000009</v>
      </c>
      <c r="G54" s="2">
        <f>G53*B46</f>
        <v>3445224.0000000009</v>
      </c>
    </row>
    <row r="55" spans="1:8" x14ac:dyDescent="0.25">
      <c r="A55" t="s">
        <v>47</v>
      </c>
      <c r="C55" s="2">
        <f>C53-C54</f>
        <v>5179999.9999999981</v>
      </c>
      <c r="D55" s="2">
        <f>D53-D54</f>
        <v>5796000</v>
      </c>
      <c r="E55" s="2">
        <f>E53-E54</f>
        <v>6473600.0000000019</v>
      </c>
      <c r="F55" s="2">
        <f>F53-F54</f>
        <v>7218960.0000000028</v>
      </c>
      <c r="G55" s="2">
        <f>G53-G54</f>
        <v>8038856.0000000028</v>
      </c>
    </row>
    <row r="56" spans="1:8" x14ac:dyDescent="0.25">
      <c r="A56" t="s">
        <v>48</v>
      </c>
      <c r="C56" s="2">
        <f>C52</f>
        <v>1400000</v>
      </c>
      <c r="D56" s="2">
        <f>D52</f>
        <v>1400000</v>
      </c>
      <c r="E56" s="2">
        <f>E52</f>
        <v>1400000</v>
      </c>
      <c r="F56" s="2">
        <f>F52</f>
        <v>1400000</v>
      </c>
      <c r="G56" s="2">
        <f>G52</f>
        <v>1400000</v>
      </c>
    </row>
    <row r="57" spans="1:8" x14ac:dyDescent="0.25">
      <c r="A57" t="s">
        <v>40</v>
      </c>
      <c r="B57" s="2">
        <f>-B41</f>
        <v>-1000000</v>
      </c>
      <c r="G57" s="2">
        <f>B41</f>
        <v>1000000</v>
      </c>
    </row>
    <row r="58" spans="1:8" x14ac:dyDescent="0.25">
      <c r="A58" t="s">
        <v>49</v>
      </c>
      <c r="B58" s="2">
        <f>-B49+B57</f>
        <v>-8000000</v>
      </c>
      <c r="C58" s="2">
        <f>C55+C56+C57</f>
        <v>6579999.9999999981</v>
      </c>
      <c r="D58" s="2">
        <f>D55+D56+D57</f>
        <v>7196000</v>
      </c>
      <c r="E58" s="2">
        <f>E55+E56+E57</f>
        <v>7873600.0000000019</v>
      </c>
      <c r="F58" s="2">
        <f>F55+F56+F57</f>
        <v>8618960.0000000037</v>
      </c>
      <c r="G58" s="2">
        <f>G55+G56+G57</f>
        <v>10438856.000000004</v>
      </c>
    </row>
    <row r="59" spans="1:8" x14ac:dyDescent="0.25">
      <c r="A59" t="s">
        <v>50</v>
      </c>
      <c r="B59" s="2">
        <f>B58</f>
        <v>-8000000</v>
      </c>
      <c r="C59" s="2">
        <f>C58+B59</f>
        <v>-1420000.0000000019</v>
      </c>
      <c r="D59" s="2">
        <f>D58+C59</f>
        <v>5775999.9999999981</v>
      </c>
      <c r="E59" s="2">
        <f>E58+D59</f>
        <v>13649600</v>
      </c>
      <c r="F59" s="2">
        <f>F58+E59</f>
        <v>22268560.000000004</v>
      </c>
      <c r="G59" s="2">
        <f>G58+F59</f>
        <v>32707416.000000007</v>
      </c>
      <c r="H59" s="2"/>
    </row>
    <row r="60" spans="1:8" x14ac:dyDescent="0.25">
      <c r="A60" t="s">
        <v>51</v>
      </c>
      <c r="B60" s="9">
        <f>1/(1+B42)^B48</f>
        <v>1</v>
      </c>
      <c r="C60" s="9">
        <f>1/(1+B42)^C48</f>
        <v>0.89285714285714279</v>
      </c>
      <c r="D60" s="9">
        <f>1/(1+B42)^D48</f>
        <v>0.79719387755102034</v>
      </c>
      <c r="E60" s="9">
        <f>1/(1+B42)^E48</f>
        <v>0.71178024781341087</v>
      </c>
      <c r="F60" s="9">
        <f>1/(1+B42)^F48</f>
        <v>0.63551807840483121</v>
      </c>
      <c r="G60" s="9">
        <f>1/(1+B42)^G48</f>
        <v>0.56742685571859919</v>
      </c>
    </row>
    <row r="61" spans="1:8" x14ac:dyDescent="0.25">
      <c r="A61" t="s">
        <v>26</v>
      </c>
      <c r="B61" s="2">
        <f t="shared" ref="B61:G61" si="7">B58*B60</f>
        <v>-8000000</v>
      </c>
      <c r="C61" s="2">
        <f t="shared" si="7"/>
        <v>5874999.9999999981</v>
      </c>
      <c r="D61" s="2">
        <f t="shared" si="7"/>
        <v>5736607.1428571427</v>
      </c>
      <c r="E61" s="2">
        <f t="shared" si="7"/>
        <v>5604272.9591836734</v>
      </c>
      <c r="F61" s="2">
        <f t="shared" si="7"/>
        <v>5477504.8970481064</v>
      </c>
      <c r="G61" s="2">
        <f t="shared" si="7"/>
        <v>5923287.2373792352</v>
      </c>
    </row>
    <row r="62" spans="1:8" x14ac:dyDescent="0.25">
      <c r="A62" t="s">
        <v>27</v>
      </c>
      <c r="B62" s="2">
        <f>SUM(C61:G61)</f>
        <v>28616672.236468155</v>
      </c>
      <c r="E62" s="2"/>
    </row>
    <row r="63" spans="1:8" x14ac:dyDescent="0.25">
      <c r="A63" t="s">
        <v>52</v>
      </c>
      <c r="B63" s="2">
        <f>-B61</f>
        <v>8000000</v>
      </c>
      <c r="E63" s="2"/>
    </row>
    <row r="65" spans="1:6" x14ac:dyDescent="0.25">
      <c r="A65" s="4" t="s">
        <v>53</v>
      </c>
      <c r="B65" s="10"/>
      <c r="C65" s="11">
        <f>B62-B63</f>
        <v>20616672.236468155</v>
      </c>
      <c r="D65" s="4" t="s">
        <v>30</v>
      </c>
      <c r="E65" s="12">
        <f>NPV(B42,C58:G58)+(B58)</f>
        <v>20616672.236468147</v>
      </c>
      <c r="F65" s="13"/>
    </row>
    <row r="66" spans="1:6" x14ac:dyDescent="0.25">
      <c r="A66" s="4" t="s">
        <v>54</v>
      </c>
      <c r="B66" s="10"/>
      <c r="C66" s="10"/>
      <c r="D66" s="4" t="s">
        <v>32</v>
      </c>
      <c r="E66" s="15">
        <f>IRR(B58:G58)</f>
        <v>0.86340312659603002</v>
      </c>
      <c r="F66" s="7"/>
    </row>
    <row r="67" spans="1:6" x14ac:dyDescent="0.25">
      <c r="A67" s="4" t="s">
        <v>55</v>
      </c>
      <c r="B67" s="10"/>
      <c r="C67" s="10"/>
      <c r="D67" s="10"/>
      <c r="E67" s="16">
        <f>C48+ABS(C59/D58)</f>
        <v>1.1973318510283493</v>
      </c>
    </row>
    <row r="68" spans="1:6" x14ac:dyDescent="0.25">
      <c r="A68" s="4" t="s">
        <v>56</v>
      </c>
      <c r="B68" s="10"/>
      <c r="C68" s="10"/>
      <c r="D68" s="10"/>
      <c r="E68" s="16">
        <f>B62/B63</f>
        <v>3.5770840295585193</v>
      </c>
    </row>
    <row r="72" spans="1:6" x14ac:dyDescent="0.25">
      <c r="A72" s="1" t="s">
        <v>57</v>
      </c>
      <c r="B72" s="21" t="s">
        <v>58</v>
      </c>
      <c r="C72" s="21"/>
    </row>
    <row r="73" spans="1:6" x14ac:dyDescent="0.25">
      <c r="A73" t="s">
        <v>59</v>
      </c>
      <c r="B73" s="2">
        <v>2000000</v>
      </c>
    </row>
    <row r="74" spans="1:6" x14ac:dyDescent="0.25">
      <c r="A74" t="s">
        <v>3</v>
      </c>
      <c r="B74">
        <v>6</v>
      </c>
    </row>
    <row r="75" spans="1:6" x14ac:dyDescent="0.25">
      <c r="A75" t="s">
        <v>6</v>
      </c>
      <c r="B75" s="3">
        <v>0.1</v>
      </c>
    </row>
    <row r="76" spans="1:6" x14ac:dyDescent="0.25">
      <c r="A76" t="s">
        <v>60</v>
      </c>
      <c r="B76" s="2">
        <v>20000000</v>
      </c>
    </row>
    <row r="77" spans="1:6" x14ac:dyDescent="0.25">
      <c r="A77" t="s">
        <v>61</v>
      </c>
      <c r="B77" s="2">
        <f>B76*0.6</f>
        <v>12000000</v>
      </c>
    </row>
    <row r="78" spans="1:6" x14ac:dyDescent="0.25">
      <c r="A78" t="s">
        <v>43</v>
      </c>
      <c r="B78" s="3">
        <v>0.15</v>
      </c>
    </row>
    <row r="79" spans="1:6" x14ac:dyDescent="0.25">
      <c r="A79" t="s">
        <v>11</v>
      </c>
      <c r="B79" s="3">
        <v>0.25</v>
      </c>
    </row>
    <row r="81" spans="1:8" x14ac:dyDescent="0.25">
      <c r="A81" s="4" t="s">
        <v>12</v>
      </c>
      <c r="B81" s="4">
        <v>0</v>
      </c>
      <c r="C81" s="4">
        <v>1</v>
      </c>
      <c r="D81" s="4">
        <v>2</v>
      </c>
      <c r="E81" s="4">
        <v>3</v>
      </c>
      <c r="F81" s="4">
        <v>4</v>
      </c>
      <c r="G81" s="4">
        <v>5</v>
      </c>
      <c r="H81" s="4">
        <v>6</v>
      </c>
    </row>
    <row r="82" spans="1:8" x14ac:dyDescent="0.25">
      <c r="A82" t="s">
        <v>62</v>
      </c>
      <c r="C82" s="2">
        <f>B73</f>
        <v>2000000</v>
      </c>
      <c r="D82" s="2">
        <f>B73</f>
        <v>2000000</v>
      </c>
      <c r="E82" s="2">
        <f>B73</f>
        <v>2000000</v>
      </c>
      <c r="F82" s="2">
        <f>B73</f>
        <v>2000000</v>
      </c>
      <c r="G82" s="2">
        <f>B73</f>
        <v>2000000</v>
      </c>
      <c r="H82" s="2">
        <f>B73</f>
        <v>2000000</v>
      </c>
    </row>
    <row r="83" spans="1:8" x14ac:dyDescent="0.25">
      <c r="A83" t="s">
        <v>63</v>
      </c>
      <c r="B83" s="2">
        <f>-PV(B75,B74,B73,0)</f>
        <v>8710521.398924455</v>
      </c>
    </row>
    <row r="84" spans="1:8" x14ac:dyDescent="0.25">
      <c r="A84" t="s">
        <v>9</v>
      </c>
      <c r="C84" s="2">
        <f>B76*(1+B78)</f>
        <v>23000000</v>
      </c>
      <c r="D84" s="2">
        <f>C84*(1+B78)</f>
        <v>26449999.999999996</v>
      </c>
      <c r="E84" s="2">
        <f>D84*(1+B78)</f>
        <v>30417499.999999993</v>
      </c>
      <c r="F84" s="2">
        <f>E84*(1+B78)</f>
        <v>34980124.999999985</v>
      </c>
      <c r="G84" s="2">
        <f>F84*(1+B78)</f>
        <v>40227143.749999978</v>
      </c>
      <c r="H84" s="2">
        <f>G84*(1+B78)</f>
        <v>46261215.31249997</v>
      </c>
    </row>
    <row r="85" spans="1:8" x14ac:dyDescent="0.25">
      <c r="A85" t="s">
        <v>64</v>
      </c>
      <c r="C85" s="2">
        <f>B77*(1+B78)</f>
        <v>13799999.999999998</v>
      </c>
      <c r="D85" s="2">
        <f>C85*(1+B78)</f>
        <v>15869999.999999996</v>
      </c>
      <c r="E85" s="2">
        <f>D85*(1+B78)</f>
        <v>18250499.999999993</v>
      </c>
      <c r="F85" s="2">
        <f>E85*(1+B78)</f>
        <v>20988074.999999989</v>
      </c>
      <c r="G85" s="2">
        <f>F85*(1+B78)</f>
        <v>24136286.249999985</v>
      </c>
      <c r="H85" s="2">
        <f>G85*(1+B78)</f>
        <v>27756729.187499981</v>
      </c>
    </row>
    <row r="86" spans="1:8" x14ac:dyDescent="0.25">
      <c r="A86" t="s">
        <v>45</v>
      </c>
      <c r="C86" s="2">
        <f t="shared" ref="C86:H86" si="8">C84-C85</f>
        <v>9200000.0000000019</v>
      </c>
      <c r="D86" s="2">
        <f t="shared" si="8"/>
        <v>10580000</v>
      </c>
      <c r="E86" s="2">
        <f t="shared" si="8"/>
        <v>12167000</v>
      </c>
      <c r="F86" s="2">
        <f t="shared" si="8"/>
        <v>13992049.999999996</v>
      </c>
      <c r="G86" s="2">
        <f t="shared" si="8"/>
        <v>16090857.499999993</v>
      </c>
      <c r="H86" s="2">
        <f t="shared" si="8"/>
        <v>18504486.124999989</v>
      </c>
    </row>
    <row r="87" spans="1:8" x14ac:dyDescent="0.25">
      <c r="A87" t="s">
        <v>65</v>
      </c>
      <c r="C87" s="2">
        <f>C86*B79</f>
        <v>2300000.0000000005</v>
      </c>
      <c r="D87" s="2">
        <f>D86*B79</f>
        <v>2645000</v>
      </c>
      <c r="E87" s="2">
        <f>E86*B79</f>
        <v>3041750</v>
      </c>
      <c r="F87" s="2">
        <f>F86*B79</f>
        <v>3498012.4999999991</v>
      </c>
      <c r="G87" s="2">
        <f>G86*B79</f>
        <v>4022714.3749999981</v>
      </c>
      <c r="H87" s="2">
        <f>H86*B79</f>
        <v>4626121.5312499972</v>
      </c>
    </row>
    <row r="88" spans="1:8" x14ac:dyDescent="0.25">
      <c r="A88" t="s">
        <v>66</v>
      </c>
      <c r="C88" s="2">
        <f t="shared" ref="C88:H88" si="9">C86-C87</f>
        <v>6900000.0000000019</v>
      </c>
      <c r="D88" s="2">
        <f t="shared" si="9"/>
        <v>7935000</v>
      </c>
      <c r="E88" s="2">
        <f t="shared" si="9"/>
        <v>9125250</v>
      </c>
      <c r="F88" s="2">
        <f t="shared" si="9"/>
        <v>10494037.499999996</v>
      </c>
      <c r="G88" s="2">
        <f t="shared" si="9"/>
        <v>12068143.124999994</v>
      </c>
      <c r="H88" s="2">
        <f t="shared" si="9"/>
        <v>13878364.593749993</v>
      </c>
    </row>
    <row r="89" spans="1:8" x14ac:dyDescent="0.25">
      <c r="A89" t="s">
        <v>23</v>
      </c>
      <c r="B89" s="2">
        <f>-B83</f>
        <v>-8710521.398924455</v>
      </c>
      <c r="C89" s="2">
        <f t="shared" ref="C89:H89" si="10">C88</f>
        <v>6900000.0000000019</v>
      </c>
      <c r="D89" s="2">
        <f t="shared" si="10"/>
        <v>7935000</v>
      </c>
      <c r="E89" s="2">
        <f t="shared" si="10"/>
        <v>9125250</v>
      </c>
      <c r="F89" s="2">
        <f t="shared" si="10"/>
        <v>10494037.499999996</v>
      </c>
      <c r="G89" s="2">
        <f t="shared" si="10"/>
        <v>12068143.124999994</v>
      </c>
      <c r="H89" s="2">
        <f t="shared" si="10"/>
        <v>13878364.593749993</v>
      </c>
    </row>
    <row r="90" spans="1:8" x14ac:dyDescent="0.25">
      <c r="A90" t="s">
        <v>67</v>
      </c>
      <c r="B90" s="9">
        <f>1/(1+B75)^B81</f>
        <v>1</v>
      </c>
      <c r="C90" s="9">
        <f>1/(1+B75)^C81</f>
        <v>0.90909090909090906</v>
      </c>
      <c r="D90" s="9">
        <f>1/(1+B75)^D81</f>
        <v>0.82644628099173545</v>
      </c>
      <c r="E90" s="9">
        <f>1/(1+B75)^E81</f>
        <v>0.75131480090157754</v>
      </c>
      <c r="F90" s="9">
        <f>1/(1+B75)^F81</f>
        <v>0.68301345536507052</v>
      </c>
      <c r="G90" s="9">
        <f>1/(1+B75)^G81</f>
        <v>0.62092132305915493</v>
      </c>
      <c r="H90" s="9">
        <f>1/(1+B75)^H81</f>
        <v>0.56447393005377722</v>
      </c>
    </row>
    <row r="91" spans="1:8" x14ac:dyDescent="0.25">
      <c r="A91" t="s">
        <v>26</v>
      </c>
      <c r="B91" s="2">
        <f t="shared" ref="B91:H91" si="11">B89*B90</f>
        <v>-8710521.398924455</v>
      </c>
      <c r="C91" s="2">
        <f t="shared" si="11"/>
        <v>6272727.2727272743</v>
      </c>
      <c r="D91" s="2">
        <f t="shared" si="11"/>
        <v>6557851.2396694208</v>
      </c>
      <c r="E91" s="2">
        <f t="shared" si="11"/>
        <v>6855935.3869271204</v>
      </c>
      <c r="F91" s="2">
        <f t="shared" si="11"/>
        <v>7167568.8136056233</v>
      </c>
      <c r="G91" s="2">
        <f t="shared" si="11"/>
        <v>7493367.3960422408</v>
      </c>
      <c r="H91" s="2">
        <f t="shared" si="11"/>
        <v>7833975.0049532512</v>
      </c>
    </row>
    <row r="92" spans="1:8" x14ac:dyDescent="0.25">
      <c r="A92" s="18" t="s">
        <v>50</v>
      </c>
      <c r="B92" s="2">
        <f>B89</f>
        <v>-8710521.398924455</v>
      </c>
      <c r="C92" s="2">
        <f t="shared" ref="C92:H92" si="12">B92+C89</f>
        <v>-1810521.3989244532</v>
      </c>
      <c r="D92" s="2">
        <f t="shared" si="12"/>
        <v>6124478.6010755468</v>
      </c>
      <c r="E92" s="2">
        <f t="shared" si="12"/>
        <v>15249728.601075547</v>
      </c>
      <c r="F92" s="2">
        <f t="shared" si="12"/>
        <v>25743766.101075545</v>
      </c>
      <c r="G92" s="2">
        <f t="shared" si="12"/>
        <v>37811909.226075538</v>
      </c>
      <c r="H92" s="2">
        <f t="shared" si="12"/>
        <v>51690273.81982553</v>
      </c>
    </row>
    <row r="93" spans="1:8" x14ac:dyDescent="0.25">
      <c r="A93" t="s">
        <v>27</v>
      </c>
      <c r="B93" s="2">
        <f>SUM(C91:H91)</f>
        <v>42181425.113924928</v>
      </c>
      <c r="E93" s="2"/>
    </row>
    <row r="94" spans="1:8" x14ac:dyDescent="0.25">
      <c r="A94" t="s">
        <v>68</v>
      </c>
      <c r="B94" s="2">
        <f>-B91</f>
        <v>8710521.398924455</v>
      </c>
      <c r="E94" s="2"/>
    </row>
    <row r="96" spans="1:8" x14ac:dyDescent="0.25">
      <c r="A96" s="4" t="s">
        <v>69</v>
      </c>
      <c r="B96" s="10"/>
      <c r="C96" s="11">
        <f>B93-B94</f>
        <v>33470903.715000473</v>
      </c>
      <c r="D96" s="4" t="s">
        <v>30</v>
      </c>
      <c r="E96" s="12">
        <f>NPV(B75,C89:H89)+(B89)</f>
        <v>33470903.715000473</v>
      </c>
    </row>
    <row r="97" spans="1:5" x14ac:dyDescent="0.25">
      <c r="A97" s="4" t="s">
        <v>70</v>
      </c>
      <c r="B97" s="10"/>
      <c r="C97" s="10"/>
      <c r="D97" s="4" t="s">
        <v>32</v>
      </c>
      <c r="E97" s="15">
        <f>IRR(B89:H89)</f>
        <v>0.90364396459635987</v>
      </c>
    </row>
    <row r="98" spans="1:5" x14ac:dyDescent="0.25">
      <c r="A98" s="4" t="s">
        <v>71</v>
      </c>
      <c r="B98" s="10"/>
      <c r="C98" s="10"/>
      <c r="D98" s="10"/>
      <c r="E98" s="16">
        <f>C81+ABS(C92/D89)</f>
        <v>1.228169048383674</v>
      </c>
    </row>
    <row r="99" spans="1:5" x14ac:dyDescent="0.25">
      <c r="A99" s="4" t="s">
        <v>72</v>
      </c>
      <c r="B99" s="10"/>
      <c r="C99" s="10"/>
      <c r="D99" s="10"/>
      <c r="E99" s="16">
        <f>B93/B94</f>
        <v>4.8425832601861636</v>
      </c>
    </row>
    <row r="102" spans="1:5" x14ac:dyDescent="0.25">
      <c r="A102" s="19" t="s">
        <v>73</v>
      </c>
      <c r="B102" s="19" t="s">
        <v>74</v>
      </c>
      <c r="C102" s="19" t="s">
        <v>75</v>
      </c>
      <c r="D102" s="19" t="s">
        <v>76</v>
      </c>
      <c r="E102" s="19" t="s">
        <v>77</v>
      </c>
    </row>
    <row r="103" spans="1:5" x14ac:dyDescent="0.25">
      <c r="A103" s="20" t="s">
        <v>78</v>
      </c>
      <c r="B103" s="13">
        <f>E30</f>
        <v>44262268.647196032</v>
      </c>
      <c r="C103" s="9">
        <f>E32</f>
        <v>1.3565903417670806</v>
      </c>
      <c r="D103" s="9">
        <f>E33</f>
        <v>5.4262268647196015</v>
      </c>
      <c r="E103" s="7">
        <f>E31</f>
        <v>0.79793436489987868</v>
      </c>
    </row>
    <row r="104" spans="1:5" x14ac:dyDescent="0.25">
      <c r="A104" s="20" t="s">
        <v>83</v>
      </c>
      <c r="B104" s="13">
        <f>E65</f>
        <v>20616672.236468147</v>
      </c>
      <c r="C104" s="9">
        <f>E67</f>
        <v>1.1973318510283493</v>
      </c>
      <c r="D104" s="9">
        <f>E68</f>
        <v>3.5770840295585193</v>
      </c>
      <c r="E104" s="7">
        <f>E66</f>
        <v>0.86340312659603002</v>
      </c>
    </row>
    <row r="105" spans="1:5" x14ac:dyDescent="0.25">
      <c r="A105" s="20" t="s">
        <v>80</v>
      </c>
      <c r="B105" s="13">
        <f>E96</f>
        <v>33470903.715000473</v>
      </c>
      <c r="C105" s="9">
        <f>E98</f>
        <v>1.228169048383674</v>
      </c>
      <c r="D105" s="9">
        <f>E99</f>
        <v>4.8425832601861636</v>
      </c>
      <c r="E105" s="7">
        <f>E97</f>
        <v>0.90364396459635987</v>
      </c>
    </row>
    <row r="106" spans="1:5" x14ac:dyDescent="0.25">
      <c r="C106" s="9"/>
    </row>
  </sheetData>
  <mergeCells count="1">
    <mergeCell ref="B72:C72"/>
  </mergeCells>
  <pageMargins left="0.7" right="0.7" top="0.75" bottom="0.75" header="0.51180555555555496" footer="0.51180555555555496"/>
  <pageSetup orientation="portrait" horizontalDpi="300" verticalDpi="300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ProjectA</vt:lpstr>
      <vt:lpstr>ProjectB</vt:lpstr>
      <vt:lpstr>ProjectC</vt:lpstr>
      <vt:lpstr>Comparison</vt:lpstr>
      <vt:lpstr>Combined_EvaluateCapProjects</vt:lpstr>
    </vt:vector>
  </TitlesOfParts>
  <Company>www.Softvative.com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of Capital Project</dc:title>
  <dc:subject>Evaluation of Capital Project</dc:subject>
  <dc:creator>Lynn</dc:creator>
  <cp:keywords>Evaluation Evaluation Capital Project Finance</cp:keywords>
  <dc:description>Evaluation of Capital Project</dc:description>
  <cp:lastModifiedBy>Marquette, Nickola</cp:lastModifiedBy>
  <cp:revision>4</cp:revision>
  <dcterms:created xsi:type="dcterms:W3CDTF">2020-12-29T02:39:05Z</dcterms:created>
  <dcterms:modified xsi:type="dcterms:W3CDTF">2021-06-07T13:29:07Z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epared by">
    <vt:lpwstr>Faisal Masood</vt:lpwstr>
  </property>
  <property fmtid="{D5CDD505-2E9C-101B-9397-08002B2CF9AE}" pid="3" name="Year">
    <vt:lpwstr>2020</vt:lpwstr>
  </property>
</Properties>
</file>